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360" yWindow="0" windowWidth="30360" windowHeight="21080" tabRatio="373"/>
  </bookViews>
  <sheets>
    <sheet name="Truss Types" sheetId="3" r:id="rId1"/>
    <sheet name="Expt Data" sheetId="2" r:id="rId2"/>
    <sheet name="Optimization - Pratt" sheetId="1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6" i="2" l="1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D3" i="1"/>
  <c r="B9" i="1"/>
  <c r="D10" i="1"/>
  <c r="D9" i="1"/>
  <c r="G9" i="1"/>
  <c r="H9" i="1"/>
  <c r="B10" i="1"/>
  <c r="E10" i="1"/>
  <c r="F10" i="1"/>
  <c r="G10" i="1"/>
  <c r="H10" i="1"/>
  <c r="D11" i="1"/>
  <c r="G11" i="1"/>
  <c r="H11" i="1"/>
  <c r="B12" i="1"/>
  <c r="D12" i="1"/>
  <c r="G12" i="1"/>
  <c r="H12" i="1"/>
  <c r="B13" i="1"/>
  <c r="D13" i="1"/>
  <c r="E13" i="1"/>
  <c r="F13" i="1"/>
  <c r="G13" i="1"/>
  <c r="H13" i="1"/>
  <c r="B14" i="1"/>
  <c r="D14" i="1"/>
  <c r="E14" i="1"/>
  <c r="F14" i="1"/>
  <c r="G14" i="1"/>
  <c r="H14" i="1"/>
  <c r="B15" i="1"/>
  <c r="D15" i="1"/>
  <c r="G15" i="1"/>
  <c r="H15" i="1"/>
  <c r="B16" i="1"/>
  <c r="D16" i="1"/>
  <c r="F16" i="1"/>
  <c r="G16" i="1"/>
  <c r="H16" i="1"/>
  <c r="B17" i="1"/>
  <c r="E17" i="1"/>
  <c r="D17" i="1"/>
  <c r="G17" i="1"/>
  <c r="B18" i="1"/>
  <c r="E18" i="1"/>
  <c r="D18" i="1"/>
  <c r="G18" i="1"/>
  <c r="G19" i="1"/>
  <c r="M16" i="1"/>
  <c r="F17" i="1"/>
  <c r="H17" i="1"/>
  <c r="M17" i="1"/>
  <c r="F18" i="1"/>
  <c r="H18" i="1"/>
  <c r="M18" i="1"/>
  <c r="D19" i="1"/>
  <c r="H19" i="1"/>
  <c r="M19" i="1"/>
  <c r="H20" i="1"/>
  <c r="M20" i="1"/>
  <c r="C22" i="1"/>
  <c r="D22" i="1"/>
  <c r="E22" i="1"/>
  <c r="F22" i="1"/>
  <c r="D23" i="1"/>
  <c r="C23" i="1"/>
  <c r="E23" i="1"/>
  <c r="F23" i="1"/>
  <c r="D24" i="1"/>
  <c r="C24" i="1"/>
  <c r="E24" i="1"/>
  <c r="F24" i="1"/>
  <c r="D25" i="1"/>
  <c r="E25" i="1"/>
  <c r="F25" i="1"/>
  <c r="D26" i="1"/>
  <c r="C26" i="1"/>
  <c r="E26" i="1"/>
  <c r="F26" i="1"/>
  <c r="F27" i="1"/>
  <c r="M22" i="1"/>
  <c r="M24" i="1"/>
  <c r="M25" i="1"/>
  <c r="M27" i="1"/>
  <c r="B30" i="1"/>
  <c r="B31" i="1"/>
  <c r="B34" i="1"/>
  <c r="D34" i="1"/>
  <c r="G34" i="1"/>
  <c r="H34" i="1"/>
  <c r="B35" i="1"/>
  <c r="D35" i="1"/>
  <c r="E35" i="1"/>
  <c r="F35" i="1"/>
  <c r="G35" i="1"/>
  <c r="H35" i="1"/>
  <c r="D36" i="1"/>
  <c r="G36" i="1"/>
  <c r="H36" i="1"/>
  <c r="B37" i="1"/>
  <c r="D37" i="1"/>
  <c r="G37" i="1"/>
  <c r="H37" i="1"/>
  <c r="B38" i="1"/>
  <c r="D38" i="1"/>
  <c r="E38" i="1"/>
  <c r="F38" i="1"/>
  <c r="G38" i="1"/>
  <c r="H38" i="1"/>
  <c r="B39" i="1"/>
  <c r="D39" i="1"/>
  <c r="E39" i="1"/>
  <c r="F39" i="1"/>
  <c r="G39" i="1"/>
  <c r="H39" i="1"/>
  <c r="B40" i="1"/>
  <c r="D40" i="1"/>
  <c r="G40" i="1"/>
  <c r="H40" i="1"/>
  <c r="B41" i="1"/>
  <c r="D41" i="1"/>
  <c r="F41" i="1"/>
  <c r="G41" i="1"/>
  <c r="H41" i="1"/>
  <c r="B42" i="1"/>
  <c r="E42" i="1"/>
  <c r="D42" i="1"/>
  <c r="G42" i="1"/>
  <c r="B43" i="1"/>
  <c r="E43" i="1"/>
  <c r="D43" i="1"/>
  <c r="G43" i="1"/>
  <c r="G44" i="1"/>
  <c r="K41" i="1"/>
  <c r="F42" i="1"/>
  <c r="H42" i="1"/>
  <c r="K42" i="1"/>
  <c r="F43" i="1"/>
  <c r="H43" i="1"/>
  <c r="K43" i="1"/>
  <c r="D44" i="1"/>
  <c r="H44" i="1"/>
  <c r="K44" i="1"/>
  <c r="K45" i="1"/>
  <c r="C47" i="1"/>
  <c r="D47" i="1"/>
  <c r="E47" i="1"/>
  <c r="F47" i="1"/>
  <c r="D48" i="1"/>
  <c r="C48" i="1"/>
  <c r="E48" i="1"/>
  <c r="F48" i="1"/>
  <c r="D49" i="1"/>
  <c r="C49" i="1"/>
  <c r="E49" i="1"/>
  <c r="F49" i="1"/>
  <c r="D50" i="1"/>
  <c r="E50" i="1"/>
  <c r="F50" i="1"/>
  <c r="D51" i="1"/>
  <c r="C51" i="1"/>
  <c r="E51" i="1"/>
  <c r="F51" i="1"/>
  <c r="F52" i="1"/>
  <c r="K47" i="1"/>
  <c r="K49" i="1"/>
  <c r="K50" i="1"/>
  <c r="K52" i="1"/>
  <c r="B55" i="1"/>
  <c r="B56" i="1"/>
  <c r="B59" i="1"/>
  <c r="D59" i="1"/>
  <c r="G59" i="1"/>
  <c r="H59" i="1"/>
  <c r="B60" i="1"/>
  <c r="D60" i="1"/>
  <c r="E60" i="1"/>
  <c r="F60" i="1"/>
  <c r="G60" i="1"/>
  <c r="H60" i="1"/>
  <c r="D61" i="1"/>
  <c r="G61" i="1"/>
  <c r="H61" i="1"/>
  <c r="B62" i="1"/>
  <c r="D62" i="1"/>
  <c r="G62" i="1"/>
  <c r="H62" i="1"/>
  <c r="B63" i="1"/>
  <c r="D63" i="1"/>
  <c r="E63" i="1"/>
  <c r="F63" i="1"/>
  <c r="G63" i="1"/>
  <c r="H63" i="1"/>
  <c r="B64" i="1"/>
  <c r="D64" i="1"/>
  <c r="E64" i="1"/>
  <c r="F64" i="1"/>
  <c r="G64" i="1"/>
  <c r="H64" i="1"/>
  <c r="B65" i="1"/>
  <c r="D65" i="1"/>
  <c r="G65" i="1"/>
  <c r="H65" i="1"/>
  <c r="B66" i="1"/>
  <c r="D66" i="1"/>
  <c r="G66" i="1"/>
  <c r="H66" i="1"/>
  <c r="B67" i="1"/>
  <c r="E67" i="1"/>
  <c r="D67" i="1"/>
  <c r="G67" i="1"/>
  <c r="B68" i="1"/>
  <c r="E68" i="1"/>
  <c r="D68" i="1"/>
  <c r="G68" i="1"/>
  <c r="G69" i="1"/>
  <c r="K66" i="1"/>
  <c r="F67" i="1"/>
  <c r="H67" i="1"/>
  <c r="K67" i="1"/>
  <c r="F68" i="1"/>
  <c r="H68" i="1"/>
  <c r="K68" i="1"/>
  <c r="D69" i="1"/>
  <c r="H69" i="1"/>
  <c r="K69" i="1"/>
  <c r="K70" i="1"/>
  <c r="C72" i="1"/>
  <c r="D72" i="1"/>
  <c r="E72" i="1"/>
  <c r="F72" i="1"/>
  <c r="D73" i="1"/>
  <c r="C73" i="1"/>
  <c r="E73" i="1"/>
  <c r="F73" i="1"/>
  <c r="D74" i="1"/>
  <c r="C74" i="1"/>
  <c r="E74" i="1"/>
  <c r="F74" i="1"/>
  <c r="D75" i="1"/>
  <c r="E75" i="1"/>
  <c r="F75" i="1"/>
  <c r="D76" i="1"/>
  <c r="C76" i="1"/>
  <c r="E76" i="1"/>
  <c r="F76" i="1"/>
  <c r="F77" i="1"/>
  <c r="K72" i="1"/>
  <c r="K74" i="1"/>
  <c r="K75" i="1"/>
  <c r="K77" i="1"/>
</calcChain>
</file>

<file path=xl/comments1.xml><?xml version="1.0" encoding="utf-8"?>
<comments xmlns="http://schemas.openxmlformats.org/spreadsheetml/2006/main">
  <authors>
    <author>yeow siow</author>
  </authors>
  <commentList>
    <comment ref="O14" authorId="0">
      <text>
        <r>
          <rPr>
            <sz val="8"/>
            <color indexed="81"/>
            <rFont val="Tahoma"/>
          </rPr>
          <t>Format these as "Text." Then enter these five sizes here (cells O14 - S14)</t>
        </r>
      </text>
    </comment>
    <comment ref="N16" authorId="0">
      <text>
        <r>
          <rPr>
            <sz val="8"/>
            <color indexed="81"/>
            <rFont val="Tahoma"/>
          </rPr>
          <t>Use formula to populate this column of "Length." Click in this cell (A16) to see the formula. Copy and paste this cell to the cells below.</t>
        </r>
      </text>
    </comment>
    <comment ref="P17" authorId="0">
      <text>
        <r>
          <rPr>
            <sz val="8"/>
            <color indexed="81"/>
            <rFont val="Tahoma"/>
          </rPr>
          <t>Looking at the chart to the left, enter the data (to the best accuracy) here (cells O16 - S29).</t>
        </r>
      </text>
    </comment>
  </commentList>
</comments>
</file>

<file path=xl/comments2.xml><?xml version="1.0" encoding="utf-8"?>
<comments xmlns="http://schemas.openxmlformats.org/spreadsheetml/2006/main">
  <authors>
    <author>yeow siow</author>
  </authors>
  <commentList>
    <comment ref="C9" authorId="0">
      <text>
        <r>
          <rPr>
            <sz val="8"/>
            <color indexed="81"/>
            <rFont val="Tahoma"/>
          </rPr>
          <t>For these three columns (B - D), you may enter the values manually, instead of using formulas.</t>
        </r>
      </text>
    </comment>
    <comment ref="E9" authorId="0">
      <text>
        <r>
          <rPr>
            <sz val="8"/>
            <color indexed="81"/>
            <rFont val="Tahoma"/>
          </rPr>
          <t>For Compression, the enter the Size and Max Load manually here (columns E, F).</t>
        </r>
      </text>
    </comment>
    <comment ref="G9" authorId="0">
      <text>
        <r>
          <rPr>
            <sz val="8"/>
            <color indexed="81"/>
            <rFont val="Tahoma"/>
          </rPr>
          <t>Calculate weight using formula.</t>
        </r>
      </text>
    </comment>
    <comment ref="H9" authorId="0">
      <text>
        <r>
          <rPr>
            <sz val="8"/>
            <color indexed="81"/>
            <rFont val="Tahoma"/>
          </rPr>
          <t>Calculate this ratio using formula.</t>
        </r>
      </text>
    </comment>
    <comment ref="E10" authorId="0">
      <text>
        <r>
          <rPr>
            <sz val="8"/>
            <color indexed="81"/>
            <rFont val="Tahoma"/>
          </rPr>
          <t>For Tension, use formula to decide the Size and Max Load for you. You can use something similar to what I'm using here.
The "IF" formula has this syntax:
=IF(logical test, value if true, value if false)</t>
        </r>
      </text>
    </comment>
    <comment ref="H20" authorId="0">
      <text>
        <r>
          <rPr>
            <sz val="8"/>
            <color indexed="81"/>
            <rFont val="Tahoma"/>
          </rPr>
          <t>Enter the ratio of your choice here. This ratio will be used for the next iteration (Iter 2).</t>
        </r>
      </text>
    </comment>
    <comment ref="A30" authorId="0">
      <text>
        <r>
          <rPr>
            <sz val="8"/>
            <color indexed="81"/>
            <rFont val="Tahoma"/>
          </rPr>
          <t>Highlight Cells A5 - M27, copy, then paste here.</t>
        </r>
      </text>
    </comment>
    <comment ref="B30" authorId="0">
      <text>
        <r>
          <rPr>
            <sz val="8"/>
            <color indexed="81"/>
            <rFont val="Tahoma"/>
          </rPr>
          <t>Use formula to increment iter number.</t>
        </r>
      </text>
    </comment>
  </commentList>
</comments>
</file>

<file path=xl/sharedStrings.xml><?xml version="1.0" encoding="utf-8"?>
<sst xmlns="http://schemas.openxmlformats.org/spreadsheetml/2006/main" count="278" uniqueCount="83">
  <si>
    <t>Truss Type:</t>
  </si>
  <si>
    <t>Triangle:</t>
  </si>
  <si>
    <t>base</t>
  </si>
  <si>
    <t>Base Length:</t>
  </si>
  <si>
    <t>Base # Sections:</t>
  </si>
  <si>
    <t>Sample Image:</t>
  </si>
  <si>
    <t xml:space="preserve"> = May need manual settings/mods from iter to iter</t>
  </si>
  <si>
    <t>Pratt</t>
  </si>
  <si>
    <t>1/1/sqrt(2)</t>
  </si>
  <si>
    <t>height</t>
  </si>
  <si>
    <t>in</t>
  </si>
  <si>
    <t>All forces scaled by 10</t>
  </si>
  <si>
    <t>hypotenuse</t>
  </si>
  <si>
    <t>Width:</t>
  </si>
  <si>
    <t>Iteration:</t>
  </si>
  <si>
    <t>Load:</t>
  </si>
  <si>
    <t>lb</t>
  </si>
  <si>
    <t>Member</t>
  </si>
  <si>
    <t>Force</t>
  </si>
  <si>
    <t>T/C?</t>
  </si>
  <si>
    <t>Length</t>
  </si>
  <si>
    <t>Size</t>
  </si>
  <si>
    <t>Max Load</t>
  </si>
  <si>
    <t>Weight</t>
  </si>
  <si>
    <t>Max Load/Force</t>
  </si>
  <si>
    <t>g</t>
  </si>
  <si>
    <t>AB</t>
  </si>
  <si>
    <t>C</t>
  </si>
  <si>
    <t>5/32</t>
  </si>
  <si>
    <t>AC</t>
  </si>
  <si>
    <t>T</t>
  </si>
  <si>
    <t>BC</t>
  </si>
  <si>
    <t>BD</t>
  </si>
  <si>
    <t>BE</t>
  </si>
  <si>
    <t>CE</t>
  </si>
  <si>
    <t>DE</t>
  </si>
  <si>
    <t>1/8</t>
  </si>
  <si>
    <t>Weight Summation</t>
  </si>
  <si>
    <t>DF</t>
  </si>
  <si>
    <t>Sub-tot:</t>
  </si>
  <si>
    <t>DG</t>
  </si>
  <si>
    <t>Mid member:</t>
  </si>
  <si>
    <t>EG</t>
  </si>
  <si>
    <t>1 truss:</t>
  </si>
  <si>
    <t>FG</t>
  </si>
  <si>
    <t>2 trusses:</t>
  </si>
  <si>
    <t>Secondary:</t>
  </si>
  <si>
    <t>Most Frequent:</t>
  </si>
  <si>
    <t>Total:</t>
  </si>
  <si>
    <t>Type</t>
  </si>
  <si>
    <t>Total #</t>
  </si>
  <si>
    <t>Unit Wt</t>
  </si>
  <si>
    <t>Total Wt</t>
  </si>
  <si>
    <t>A</t>
  </si>
  <si>
    <t>Total Basswood:</t>
  </si>
  <si>
    <t>B</t>
  </si>
  <si>
    <t>Glue+Plates %:</t>
  </si>
  <si>
    <t>%</t>
  </si>
  <si>
    <t>Glue+Plates:</t>
  </si>
  <si>
    <t>D</t>
  </si>
  <si>
    <t>Grand Total:</t>
  </si>
  <si>
    <t>E</t>
  </si>
  <si>
    <t>PV:</t>
  </si>
  <si>
    <t>3/16</t>
  </si>
  <si>
    <t>Basswood</t>
  </si>
  <si>
    <t>Secondary Members</t>
  </si>
  <si>
    <t>Linear Density</t>
  </si>
  <si>
    <t>Tensile Strength</t>
  </si>
  <si>
    <t>Design Load Range</t>
  </si>
  <si>
    <t>g/in</t>
  </si>
  <si>
    <t>min</t>
  </si>
  <si>
    <t>max</t>
  </si>
  <si>
    <t>3/32</t>
  </si>
  <si>
    <t>1/4</t>
  </si>
  <si>
    <t>Make a data table of the compression chart. Something similar to this:</t>
  </si>
  <si>
    <t>Then, plot a graph using the data table you've just made above.</t>
  </si>
  <si>
    <t>Make your graph look as closely to the chart to the left as possible.</t>
  </si>
  <si>
    <t>Use "Scatter" type graph, with data points connected with smooth lines.</t>
  </si>
  <si>
    <t>zero-force</t>
  </si>
  <si>
    <t>All experimental data courtesy of Dr. Harvey Abramowitz.</t>
  </si>
  <si>
    <t>Howe:</t>
  </si>
  <si>
    <t>Warren:</t>
  </si>
  <si>
    <t>Pratt: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</si>
</sst>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8"/>
      <color indexed="81"/>
      <name val="Tahoma"/>
    </font>
    <font>
      <b/>
      <sz val="11"/>
      <name val="Arial"/>
    </font>
    <font>
      <sz val="11"/>
      <name val="Arial"/>
    </font>
    <font>
      <b/>
      <sz val="10"/>
      <color rgb="FFFF000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0"/>
        <bgColor indexed="60"/>
      </patternFill>
    </fill>
    <fill>
      <patternFill patternType="solid">
        <fgColor indexed="12"/>
        <bgColor indexed="39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</fills>
  <borders count="29">
    <border>
      <left/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indexed="8"/>
      </right>
      <top style="medium">
        <color auto="1"/>
      </top>
      <bottom/>
      <diagonal/>
    </border>
    <border>
      <left style="hair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indexed="8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indexed="8"/>
      </right>
      <top/>
      <bottom style="medium">
        <color auto="1"/>
      </bottom>
      <diagonal/>
    </border>
    <border>
      <left style="hair">
        <color indexed="8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indexed="8"/>
      </right>
      <top style="medium">
        <color auto="1"/>
      </top>
      <bottom/>
      <diagonal/>
    </border>
    <border>
      <left style="medium">
        <color auto="1"/>
      </left>
      <right style="hair">
        <color indexed="8"/>
      </right>
      <top/>
      <bottom/>
      <diagonal/>
    </border>
    <border>
      <left style="medium">
        <color auto="1"/>
      </left>
      <right style="hair">
        <color indexed="8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2" xfId="0" applyFont="1" applyBorder="1"/>
    <xf numFmtId="0" fontId="1" fillId="0" borderId="0" xfId="0" applyFont="1" applyAlignment="1">
      <alignment horizontal="right"/>
    </xf>
    <xf numFmtId="2" fontId="0" fillId="0" borderId="1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2" fillId="3" borderId="0" xfId="0" applyFont="1" applyFill="1"/>
    <xf numFmtId="0" fontId="1" fillId="0" borderId="0" xfId="0" applyFont="1" applyAlignment="1">
      <alignment horizontal="center"/>
    </xf>
    <xf numFmtId="2" fontId="2" fillId="4" borderId="0" xfId="0" applyNumberFormat="1" applyFont="1" applyFill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9" xfId="0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/>
    <xf numFmtId="0" fontId="1" fillId="0" borderId="5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/>
    <xf numFmtId="0" fontId="0" fillId="0" borderId="14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49" fontId="0" fillId="0" borderId="7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49" fontId="0" fillId="0" borderId="9" xfId="0" applyNumberFormat="1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5" borderId="0" xfId="0" applyFill="1"/>
    <xf numFmtId="0" fontId="0" fillId="5" borderId="7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49" fontId="1" fillId="6" borderId="22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2" fontId="0" fillId="6" borderId="24" xfId="0" applyNumberFormat="1" applyFill="1" applyBorder="1"/>
    <xf numFmtId="2" fontId="0" fillId="7" borderId="0" xfId="0" applyNumberForma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2" fontId="0" fillId="7" borderId="10" xfId="0" applyNumberForma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49" fontId="0" fillId="8" borderId="0" xfId="0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49" fontId="0" fillId="8" borderId="0" xfId="0" applyNumberFormat="1" applyFill="1" applyBorder="1" applyAlignment="1">
      <alignment horizontal="center"/>
    </xf>
    <xf numFmtId="49" fontId="0" fillId="8" borderId="10" xfId="0" applyNumberFormat="1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2" fontId="0" fillId="0" borderId="27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0" fontId="1" fillId="0" borderId="22" xfId="0" applyFont="1" applyBorder="1" applyAlignment="1">
      <alignment horizontal="left"/>
    </xf>
    <xf numFmtId="0" fontId="0" fillId="0" borderId="22" xfId="0" applyBorder="1"/>
    <xf numFmtId="0" fontId="0" fillId="0" borderId="28" xfId="0" applyBorder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3" xfId="0" applyFont="1" applyBorder="1"/>
    <xf numFmtId="0" fontId="6" fillId="0" borderId="4" xfId="0" applyFont="1" applyBorder="1"/>
    <xf numFmtId="0" fontId="5" fillId="0" borderId="4" xfId="0" applyFont="1" applyBorder="1"/>
    <xf numFmtId="0" fontId="6" fillId="5" borderId="4" xfId="0" applyFont="1" applyFill="1" applyBorder="1"/>
    <xf numFmtId="0" fontId="6" fillId="2" borderId="4" xfId="0" applyFont="1" applyFill="1" applyBorder="1" applyAlignment="1">
      <alignment horizontal="left"/>
    </xf>
    <xf numFmtId="0" fontId="6" fillId="2" borderId="4" xfId="0" applyFont="1" applyFill="1" applyBorder="1"/>
    <xf numFmtId="0" fontId="6" fillId="2" borderId="21" xfId="0" applyFont="1" applyFill="1" applyBorder="1"/>
    <xf numFmtId="0" fontId="6" fillId="5" borderId="7" xfId="0" applyFont="1" applyFill="1" applyBorder="1"/>
    <xf numFmtId="0" fontId="6" fillId="0" borderId="0" xfId="0" applyFont="1" applyBorder="1"/>
    <xf numFmtId="0" fontId="6" fillId="5" borderId="0" xfId="0" applyFont="1" applyFill="1" applyBorder="1"/>
    <xf numFmtId="0" fontId="6" fillId="5" borderId="0" xfId="0" applyFont="1" applyFill="1" applyBorder="1" applyAlignment="1">
      <alignment horizontal="center"/>
    </xf>
    <xf numFmtId="0" fontId="6" fillId="0" borderId="13" xfId="0" applyFont="1" applyBorder="1"/>
    <xf numFmtId="0" fontId="5" fillId="0" borderId="7" xfId="0" applyFont="1" applyBorder="1"/>
    <xf numFmtId="0" fontId="5" fillId="0" borderId="0" xfId="0" applyFont="1" applyBorder="1"/>
    <xf numFmtId="0" fontId="6" fillId="0" borderId="9" xfId="0" applyFont="1" applyBorder="1"/>
    <xf numFmtId="0" fontId="6" fillId="0" borderId="10" xfId="0" applyFont="1" applyBorder="1"/>
    <xf numFmtId="0" fontId="6" fillId="5" borderId="10" xfId="0" applyFont="1" applyFill="1" applyBorder="1" applyAlignment="1">
      <alignment horizontal="center"/>
    </xf>
    <xf numFmtId="0" fontId="6" fillId="0" borderId="14" xfId="0" applyFont="1" applyBorder="1"/>
    <xf numFmtId="49" fontId="0" fillId="0" borderId="10" xfId="0" applyNumberFormat="1" applyFont="1" applyBorder="1" applyAlignment="1">
      <alignment horizontal="center"/>
    </xf>
    <xf numFmtId="49" fontId="0" fillId="0" borderId="11" xfId="0" applyNumberFormat="1" applyFont="1" applyBorder="1" applyAlignment="1">
      <alignment horizontal="center"/>
    </xf>
    <xf numFmtId="49" fontId="0" fillId="0" borderId="14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0" borderId="1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E6E64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63500</xdr:rowOff>
    </xdr:from>
    <xdr:to>
      <xdr:col>7</xdr:col>
      <xdr:colOff>660400</xdr:colOff>
      <xdr:row>22</xdr:row>
      <xdr:rowOff>63500</xdr:rowOff>
    </xdr:to>
    <xdr:pic>
      <xdr:nvPicPr>
        <xdr:cNvPr id="3073" name="Graphics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900"/>
          <a:ext cx="6794500" cy="320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23</xdr:row>
      <xdr:rowOff>139700</xdr:rowOff>
    </xdr:from>
    <xdr:to>
      <xdr:col>9</xdr:col>
      <xdr:colOff>215900</xdr:colOff>
      <xdr:row>38</xdr:row>
      <xdr:rowOff>88900</xdr:rowOff>
    </xdr:to>
    <xdr:pic>
      <xdr:nvPicPr>
        <xdr:cNvPr id="3074" name="Graphics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4900"/>
          <a:ext cx="8102600" cy="2235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9</xdr:col>
      <xdr:colOff>259630</xdr:colOff>
      <xdr:row>58</xdr:row>
      <xdr:rowOff>0</xdr:rowOff>
    </xdr:to>
    <xdr:pic>
      <xdr:nvPicPr>
        <xdr:cNvPr id="4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8400"/>
          <a:ext cx="8146330" cy="2590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12</xdr:col>
      <xdr:colOff>152400</xdr:colOff>
      <xdr:row>45</xdr:row>
      <xdr:rowOff>0</xdr:rowOff>
    </xdr:to>
    <xdr:pic>
      <xdr:nvPicPr>
        <xdr:cNvPr id="2049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5100"/>
          <a:ext cx="9448800" cy="548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4</xdr:row>
      <xdr:rowOff>76200</xdr:rowOff>
    </xdr:from>
    <xdr:to>
      <xdr:col>16</xdr:col>
      <xdr:colOff>292100</xdr:colOff>
      <xdr:row>11</xdr:row>
      <xdr:rowOff>63500</xdr:rowOff>
    </xdr:to>
    <xdr:pic>
      <xdr:nvPicPr>
        <xdr:cNvPr id="1028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736600"/>
          <a:ext cx="3873500" cy="1231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abSelected="1" workbookViewId="0">
      <selection activeCell="B1" sqref="B1"/>
    </sheetView>
  </sheetViews>
  <sheetFormatPr baseColWidth="10" defaultColWidth="11.5" defaultRowHeight="12" x14ac:dyDescent="0"/>
  <sheetData>
    <row r="1" spans="1:1">
      <c r="A1" s="86" t="s">
        <v>80</v>
      </c>
    </row>
    <row r="24" spans="1:1">
      <c r="A24" s="86" t="s">
        <v>81</v>
      </c>
    </row>
    <row r="41" spans="1:1">
      <c r="A41" s="86" t="s">
        <v>82</v>
      </c>
    </row>
  </sheetData>
  <phoneticPr fontId="3" type="noConversion"/>
  <pageMargins left="0.78749999999999998" right="0.78749999999999998" top="1.0249999999999999" bottom="1.0249999999999999" header="0.78749999999999998" footer="0.78749999999999998"/>
  <headerFooter>
    <oddHeader>&amp;C&amp;A</oddHeader>
    <oddFooter>&amp;CPage 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8"/>
  <sheetViews>
    <sheetView workbookViewId="0">
      <selection activeCell="A50" sqref="A50"/>
    </sheetView>
  </sheetViews>
  <sheetFormatPr baseColWidth="10" defaultColWidth="8.83203125" defaultRowHeight="12" x14ac:dyDescent="0"/>
  <cols>
    <col min="1" max="1" width="10.5" customWidth="1"/>
    <col min="2" max="2" width="15.5" customWidth="1"/>
    <col min="3" max="3" width="16.5" customWidth="1"/>
  </cols>
  <sheetData>
    <row r="1" spans="1:19" ht="13" thickBot="1">
      <c r="A1" t="s">
        <v>64</v>
      </c>
      <c r="E1" t="s">
        <v>65</v>
      </c>
    </row>
    <row r="2" spans="1:19">
      <c r="A2" s="51" t="s">
        <v>21</v>
      </c>
      <c r="B2" s="44" t="s">
        <v>66</v>
      </c>
      <c r="C2" s="52" t="s">
        <v>67</v>
      </c>
      <c r="E2" s="43"/>
      <c r="F2" s="111" t="s">
        <v>68</v>
      </c>
      <c r="G2" s="111"/>
      <c r="H2" s="111"/>
      <c r="I2" s="111"/>
      <c r="J2" s="111"/>
      <c r="K2" s="112"/>
    </row>
    <row r="3" spans="1:19" ht="13" thickBot="1">
      <c r="A3" s="26" t="s">
        <v>10</v>
      </c>
      <c r="B3" s="30" t="s">
        <v>69</v>
      </c>
      <c r="C3" s="53" t="s">
        <v>16</v>
      </c>
      <c r="E3" s="45" t="s">
        <v>49</v>
      </c>
      <c r="F3" s="23" t="s">
        <v>70</v>
      </c>
      <c r="G3" s="23" t="s">
        <v>71</v>
      </c>
      <c r="H3" s="23" t="s">
        <v>70</v>
      </c>
      <c r="I3" s="23" t="s">
        <v>71</v>
      </c>
      <c r="J3" s="23" t="s">
        <v>70</v>
      </c>
      <c r="K3" s="46" t="s">
        <v>71</v>
      </c>
    </row>
    <row r="4" spans="1:19" ht="13" thickBot="1">
      <c r="A4" s="54" t="s">
        <v>72</v>
      </c>
      <c r="B4" s="5">
        <v>0.06</v>
      </c>
      <c r="C4" s="55">
        <v>20</v>
      </c>
      <c r="E4" s="47"/>
      <c r="F4" s="28">
        <v>0</v>
      </c>
      <c r="G4" s="28">
        <v>45</v>
      </c>
      <c r="H4" s="28">
        <v>46</v>
      </c>
      <c r="I4" s="28">
        <v>69</v>
      </c>
      <c r="J4" s="28">
        <v>70</v>
      </c>
      <c r="K4" s="48">
        <v>100</v>
      </c>
    </row>
    <row r="5" spans="1:19">
      <c r="A5" s="54" t="s">
        <v>36</v>
      </c>
      <c r="B5" s="5">
        <v>0.11</v>
      </c>
      <c r="C5" s="55">
        <v>35</v>
      </c>
      <c r="E5" s="49" t="s">
        <v>53</v>
      </c>
      <c r="F5" s="108" t="s">
        <v>72</v>
      </c>
      <c r="G5" s="108"/>
      <c r="H5" s="108" t="s">
        <v>36</v>
      </c>
      <c r="I5" s="108"/>
      <c r="J5" s="109" t="s">
        <v>28</v>
      </c>
      <c r="K5" s="110"/>
    </row>
    <row r="6" spans="1:19">
      <c r="A6" s="54" t="s">
        <v>28</v>
      </c>
      <c r="B6" s="5">
        <v>0.17</v>
      </c>
      <c r="C6" s="55">
        <v>54</v>
      </c>
      <c r="E6" s="49" t="s">
        <v>55</v>
      </c>
      <c r="F6" s="108" t="s">
        <v>72</v>
      </c>
      <c r="G6" s="108"/>
      <c r="H6" s="108" t="s">
        <v>72</v>
      </c>
      <c r="I6" s="108"/>
      <c r="J6" s="109" t="s">
        <v>36</v>
      </c>
      <c r="K6" s="110"/>
    </row>
    <row r="7" spans="1:19">
      <c r="A7" s="54" t="s">
        <v>63</v>
      </c>
      <c r="B7" s="5">
        <v>0.24</v>
      </c>
      <c r="C7" s="55">
        <v>80</v>
      </c>
      <c r="E7" s="49" t="s">
        <v>27</v>
      </c>
      <c r="F7" s="108" t="s">
        <v>72</v>
      </c>
      <c r="G7" s="108"/>
      <c r="H7" s="108" t="s">
        <v>72</v>
      </c>
      <c r="I7" s="108"/>
      <c r="J7" s="109" t="s">
        <v>36</v>
      </c>
      <c r="K7" s="110"/>
    </row>
    <row r="8" spans="1:19" ht="13" thickBot="1">
      <c r="A8" s="56" t="s">
        <v>73</v>
      </c>
      <c r="B8" s="30">
        <v>0.43</v>
      </c>
      <c r="C8" s="53">
        <v>140</v>
      </c>
      <c r="E8" s="49" t="s">
        <v>59</v>
      </c>
      <c r="F8" s="108" t="s">
        <v>36</v>
      </c>
      <c r="G8" s="108"/>
      <c r="H8" s="108" t="s">
        <v>36</v>
      </c>
      <c r="I8" s="108"/>
      <c r="J8" s="109" t="s">
        <v>28</v>
      </c>
      <c r="K8" s="110"/>
    </row>
    <row r="9" spans="1:19" ht="13" thickBot="1">
      <c r="E9" s="50" t="s">
        <v>61</v>
      </c>
      <c r="F9" s="105" t="s">
        <v>36</v>
      </c>
      <c r="G9" s="105"/>
      <c r="H9" s="105" t="s">
        <v>28</v>
      </c>
      <c r="I9" s="105"/>
      <c r="J9" s="106" t="s">
        <v>63</v>
      </c>
      <c r="K9" s="107"/>
    </row>
    <row r="10" spans="1:19">
      <c r="N10" s="1" t="s">
        <v>74</v>
      </c>
    </row>
    <row r="14" spans="1:19">
      <c r="N14" s="63" t="s">
        <v>20</v>
      </c>
      <c r="O14" s="62" t="s">
        <v>72</v>
      </c>
      <c r="P14" s="62" t="s">
        <v>36</v>
      </c>
      <c r="Q14" s="62" t="s">
        <v>28</v>
      </c>
      <c r="R14" s="62" t="s">
        <v>63</v>
      </c>
      <c r="S14" s="62" t="s">
        <v>73</v>
      </c>
    </row>
    <row r="15" spans="1:19">
      <c r="N15" s="64">
        <v>1</v>
      </c>
      <c r="O15" s="59"/>
      <c r="P15" s="59"/>
      <c r="Q15" s="59"/>
      <c r="R15" s="59"/>
      <c r="S15" s="59"/>
    </row>
    <row r="16" spans="1:19">
      <c r="N16" s="64">
        <f>N15+0.5</f>
        <v>1.5</v>
      </c>
      <c r="O16" s="59"/>
      <c r="P16" s="59"/>
      <c r="Q16" s="59"/>
      <c r="R16" s="59"/>
      <c r="S16" s="59"/>
    </row>
    <row r="17" spans="14:19">
      <c r="N17" s="64">
        <f t="shared" ref="N17:N29" si="0">N16+0.5</f>
        <v>2</v>
      </c>
      <c r="O17" s="59"/>
      <c r="P17" s="59"/>
      <c r="Q17" s="59"/>
      <c r="R17" s="59"/>
      <c r="S17" s="59"/>
    </row>
    <row r="18" spans="14:19">
      <c r="N18" s="64">
        <f t="shared" si="0"/>
        <v>2.5</v>
      </c>
      <c r="O18" s="59"/>
      <c r="P18" s="59"/>
      <c r="Q18" s="59"/>
      <c r="R18" s="59"/>
      <c r="S18" s="59"/>
    </row>
    <row r="19" spans="14:19">
      <c r="N19" s="64">
        <f t="shared" si="0"/>
        <v>3</v>
      </c>
      <c r="O19" s="59"/>
      <c r="P19" s="59"/>
      <c r="Q19" s="59"/>
      <c r="R19" s="59"/>
      <c r="S19" s="59"/>
    </row>
    <row r="20" spans="14:19">
      <c r="N20" s="64">
        <f t="shared" si="0"/>
        <v>3.5</v>
      </c>
      <c r="O20" s="59"/>
      <c r="P20" s="59"/>
      <c r="Q20" s="59"/>
      <c r="R20" s="59"/>
      <c r="S20" s="59"/>
    </row>
    <row r="21" spans="14:19">
      <c r="N21" s="64">
        <f t="shared" si="0"/>
        <v>4</v>
      </c>
      <c r="O21" s="59"/>
      <c r="P21" s="59"/>
      <c r="Q21" s="59"/>
      <c r="R21" s="59"/>
      <c r="S21" s="59"/>
    </row>
    <row r="22" spans="14:19">
      <c r="N22" s="64">
        <f t="shared" si="0"/>
        <v>4.5</v>
      </c>
      <c r="O22" s="59"/>
      <c r="P22" s="59"/>
      <c r="Q22" s="59"/>
      <c r="R22" s="59"/>
      <c r="S22" s="59"/>
    </row>
    <row r="23" spans="14:19">
      <c r="N23" s="64">
        <f t="shared" si="0"/>
        <v>5</v>
      </c>
      <c r="O23" s="59"/>
      <c r="P23" s="59"/>
      <c r="Q23" s="59"/>
      <c r="R23" s="59"/>
      <c r="S23" s="59"/>
    </row>
    <row r="24" spans="14:19">
      <c r="N24" s="64">
        <f t="shared" si="0"/>
        <v>5.5</v>
      </c>
      <c r="O24" s="59"/>
      <c r="P24" s="59"/>
      <c r="Q24" s="59"/>
      <c r="R24" s="59"/>
      <c r="S24" s="59"/>
    </row>
    <row r="25" spans="14:19">
      <c r="N25" s="64">
        <f t="shared" si="0"/>
        <v>6</v>
      </c>
      <c r="O25" s="59"/>
      <c r="P25" s="59"/>
      <c r="Q25" s="59"/>
      <c r="R25" s="59"/>
      <c r="S25" s="59"/>
    </row>
    <row r="26" spans="14:19">
      <c r="N26" s="64">
        <f t="shared" si="0"/>
        <v>6.5</v>
      </c>
      <c r="O26" s="59"/>
      <c r="P26" s="59"/>
      <c r="Q26" s="59"/>
      <c r="R26" s="59"/>
      <c r="S26" s="59"/>
    </row>
    <row r="27" spans="14:19">
      <c r="N27" s="64">
        <f t="shared" si="0"/>
        <v>7</v>
      </c>
      <c r="O27" s="59"/>
      <c r="P27" s="59"/>
      <c r="Q27" s="59"/>
      <c r="R27" s="59"/>
      <c r="S27" s="59"/>
    </row>
    <row r="28" spans="14:19">
      <c r="N28" s="64">
        <f t="shared" si="0"/>
        <v>7.5</v>
      </c>
      <c r="O28" s="59"/>
      <c r="P28" s="59"/>
      <c r="Q28" s="59"/>
      <c r="R28" s="59"/>
      <c r="S28" s="59"/>
    </row>
    <row r="29" spans="14:19">
      <c r="N29" s="64">
        <f t="shared" si="0"/>
        <v>8</v>
      </c>
      <c r="O29" s="59"/>
      <c r="P29" s="59"/>
      <c r="Q29" s="59"/>
      <c r="R29" s="59"/>
      <c r="S29" s="59"/>
    </row>
    <row r="31" spans="14:19">
      <c r="N31" s="1" t="s">
        <v>75</v>
      </c>
    </row>
    <row r="32" spans="14:19">
      <c r="N32" s="1" t="s">
        <v>76</v>
      </c>
    </row>
    <row r="33" spans="1:14">
      <c r="N33" s="1" t="s">
        <v>77</v>
      </c>
    </row>
    <row r="48" spans="1:14">
      <c r="A48" t="s">
        <v>79</v>
      </c>
    </row>
  </sheetData>
  <mergeCells count="16">
    <mergeCell ref="F2:K2"/>
    <mergeCell ref="F5:G5"/>
    <mergeCell ref="H5:I5"/>
    <mergeCell ref="J5:K5"/>
    <mergeCell ref="F6:G6"/>
    <mergeCell ref="H6:I6"/>
    <mergeCell ref="J6:K6"/>
    <mergeCell ref="F9:G9"/>
    <mergeCell ref="H9:I9"/>
    <mergeCell ref="J9:K9"/>
    <mergeCell ref="F7:G7"/>
    <mergeCell ref="H7:I7"/>
    <mergeCell ref="J7:K7"/>
    <mergeCell ref="F8:G8"/>
    <mergeCell ref="H8:I8"/>
    <mergeCell ref="J8:K8"/>
  </mergeCells>
  <phoneticPr fontId="3" type="noConversion"/>
  <pageMargins left="0.78749999999999998" right="0.78749999999999998" top="1.0249999999999999" bottom="1.0249999999999999" header="0.78749999999999998" footer="0.78749999999999998"/>
  <headerFooter>
    <oddHeader>&amp;C&amp;A</oddHeader>
    <oddFooter>&amp;CPage &amp;P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7"/>
  <sheetViews>
    <sheetView workbookViewId="0">
      <selection activeCell="X21" sqref="X21"/>
    </sheetView>
  </sheetViews>
  <sheetFormatPr baseColWidth="10" defaultColWidth="8.83203125" defaultRowHeight="12" x14ac:dyDescent="0"/>
  <cols>
    <col min="7" max="7" width="9.6640625" customWidth="1"/>
    <col min="8" max="8" width="11.1640625" customWidth="1"/>
  </cols>
  <sheetData>
    <row r="1" spans="1:18" s="85" customFormat="1" ht="13">
      <c r="A1" s="87" t="s">
        <v>0</v>
      </c>
      <c r="B1" s="88"/>
      <c r="C1" s="89" t="s">
        <v>1</v>
      </c>
      <c r="D1" s="90">
        <v>1</v>
      </c>
      <c r="E1" s="88" t="s">
        <v>2</v>
      </c>
      <c r="F1" s="88"/>
      <c r="G1" s="89" t="s">
        <v>3</v>
      </c>
      <c r="H1" s="88"/>
      <c r="I1" s="89" t="s">
        <v>4</v>
      </c>
      <c r="J1" s="88"/>
      <c r="K1" s="89" t="s">
        <v>5</v>
      </c>
      <c r="L1" s="88"/>
      <c r="M1" s="88"/>
      <c r="N1" s="91" t="s">
        <v>6</v>
      </c>
      <c r="O1" s="92"/>
      <c r="P1" s="92"/>
      <c r="Q1" s="92"/>
      <c r="R1" s="93"/>
    </row>
    <row r="2" spans="1:18" s="85" customFormat="1" ht="13">
      <c r="A2" s="94" t="s">
        <v>7</v>
      </c>
      <c r="B2" s="95"/>
      <c r="C2" s="96" t="s">
        <v>8</v>
      </c>
      <c r="D2" s="96">
        <v>1</v>
      </c>
      <c r="E2" s="95" t="s">
        <v>9</v>
      </c>
      <c r="F2" s="95"/>
      <c r="G2" s="97">
        <v>24</v>
      </c>
      <c r="H2" s="95" t="s">
        <v>10</v>
      </c>
      <c r="I2" s="97">
        <v>6</v>
      </c>
      <c r="J2" s="95"/>
      <c r="K2" s="95" t="s">
        <v>11</v>
      </c>
      <c r="L2" s="95"/>
      <c r="M2" s="95"/>
      <c r="N2" s="95"/>
      <c r="O2" s="95"/>
      <c r="P2" s="95"/>
      <c r="Q2" s="95"/>
      <c r="R2" s="98"/>
    </row>
    <row r="3" spans="1:18" s="85" customFormat="1" ht="13">
      <c r="A3" s="99"/>
      <c r="B3" s="95"/>
      <c r="C3" s="95"/>
      <c r="D3" s="96">
        <f>SQRT(2)</f>
        <v>1.4142135623730951</v>
      </c>
      <c r="E3" s="95" t="s">
        <v>12</v>
      </c>
      <c r="F3" s="95"/>
      <c r="G3" s="100" t="s">
        <v>13</v>
      </c>
      <c r="H3" s="95"/>
      <c r="I3" s="95"/>
      <c r="J3" s="95"/>
      <c r="K3" s="95"/>
      <c r="L3" s="95"/>
      <c r="M3" s="95"/>
      <c r="N3" s="95"/>
      <c r="O3" s="95"/>
      <c r="P3" s="95"/>
      <c r="Q3" s="95"/>
      <c r="R3" s="98"/>
    </row>
    <row r="4" spans="1:18" s="85" customFormat="1" ht="14" thickBot="1">
      <c r="A4" s="101"/>
      <c r="B4" s="102"/>
      <c r="C4" s="102"/>
      <c r="D4" s="102"/>
      <c r="E4" s="102"/>
      <c r="F4" s="102"/>
      <c r="G4" s="103">
        <v>4</v>
      </c>
      <c r="H4" s="102" t="s">
        <v>10</v>
      </c>
      <c r="I4" s="102"/>
      <c r="J4" s="102"/>
      <c r="K4" s="102"/>
      <c r="L4" s="102"/>
      <c r="M4" s="102"/>
      <c r="N4" s="102"/>
      <c r="O4" s="102"/>
      <c r="P4" s="102"/>
      <c r="Q4" s="102"/>
      <c r="R4" s="104"/>
    </row>
    <row r="5" spans="1:18">
      <c r="A5" s="1" t="s">
        <v>14</v>
      </c>
      <c r="B5" s="2">
        <v>1</v>
      </c>
      <c r="G5" s="79"/>
    </row>
    <row r="6" spans="1:18" ht="13" thickBot="1">
      <c r="A6" s="1" t="s">
        <v>15</v>
      </c>
      <c r="B6" s="3">
        <v>40</v>
      </c>
      <c r="C6" t="s">
        <v>16</v>
      </c>
    </row>
    <row r="7" spans="1:18" s="2" customFormat="1" ht="24">
      <c r="A7" s="15" t="s">
        <v>17</v>
      </c>
      <c r="B7" s="16" t="s">
        <v>18</v>
      </c>
      <c r="C7" s="16" t="s">
        <v>19</v>
      </c>
      <c r="D7" s="16" t="s">
        <v>20</v>
      </c>
      <c r="E7" s="17" t="s">
        <v>21</v>
      </c>
      <c r="F7" s="18" t="s">
        <v>22</v>
      </c>
      <c r="G7" s="74" t="s">
        <v>23</v>
      </c>
      <c r="H7" s="75" t="s">
        <v>24</v>
      </c>
    </row>
    <row r="8" spans="1:18" s="4" customFormat="1" ht="13" thickBot="1">
      <c r="A8" s="34"/>
      <c r="B8" s="35" t="s">
        <v>16</v>
      </c>
      <c r="C8" s="35"/>
      <c r="D8" s="35" t="s">
        <v>10</v>
      </c>
      <c r="E8" s="35" t="s">
        <v>10</v>
      </c>
      <c r="F8" s="35" t="s">
        <v>16</v>
      </c>
      <c r="G8" s="35" t="s">
        <v>25</v>
      </c>
      <c r="H8" s="76"/>
    </row>
    <row r="9" spans="1:18">
      <c r="A9" s="60" t="s">
        <v>26</v>
      </c>
      <c r="B9" s="65">
        <f>B6*0.5*0.5*SQRT(2)</f>
        <v>14.142135623730951</v>
      </c>
      <c r="C9" s="66" t="s">
        <v>27</v>
      </c>
      <c r="D9" s="65">
        <f>$D$3/$D$1*$D$10</f>
        <v>5.6568542494923806</v>
      </c>
      <c r="E9" s="69" t="s">
        <v>28</v>
      </c>
      <c r="F9" s="70">
        <v>24</v>
      </c>
      <c r="G9" s="22">
        <f>IF(E9='Expt Data'!$A$4,D9*'Expt Data'!$B$4,IF(E9='Expt Data'!$A$5,D9*'Expt Data'!$B$5,IF(E9='Expt Data'!$A$6,D9*'Expt Data'!$B$6,IF(E9='Expt Data'!$A$7,D9*'Expt Data'!$B$7,IF(E9='Expt Data'!$A$8,D9*'Expt Data'!$B$8,"Secondary")))))</f>
        <v>0.96166522241370478</v>
      </c>
      <c r="H9" s="77">
        <f t="shared" ref="H9:H19" si="0">IF(B9&gt;0,F9/B9,0)</f>
        <v>1.697056274847714</v>
      </c>
    </row>
    <row r="10" spans="1:18">
      <c r="A10" s="60" t="s">
        <v>29</v>
      </c>
      <c r="B10" s="65">
        <f>B6*0.5*0.5</f>
        <v>10</v>
      </c>
      <c r="C10" s="66" t="s">
        <v>30</v>
      </c>
      <c r="D10" s="65">
        <f>$G$2/$I$2</f>
        <v>4</v>
      </c>
      <c r="E10" s="69" t="str">
        <f>IF(B10&lt;='Expt Data'!$C$4,'Expt Data'!$A$4,IF(B10&lt;='Expt Data'!$C$5,'Expt Data'!$A$5,IF(B10&lt;='Expt Data'!$C$6,'Expt Data'!$A$6,IF(B10&lt;='Expt Data'!$C$7,'Expt Data'!$A$7,'Expt Data'!$A$8))))</f>
        <v>3/32</v>
      </c>
      <c r="F10" s="70">
        <f>IF(E10='Expt Data'!$A$4,'Expt Data'!$C$4,IF(E10='Expt Data'!$A$5,'Expt Data'!$C$5,IF(E10='Expt Data'!$A$6,'Expt Data'!$C$6,IF(E10='Expt Data'!$A$7,'Expt Data'!$C$7,'Expt Data'!$C$8))))</f>
        <v>20</v>
      </c>
      <c r="G10" s="22">
        <f>IF(E10='Expt Data'!$A$4,D10*'Expt Data'!$B$4,IF(E10='Expt Data'!$A$5,D10*'Expt Data'!$B$5,IF(E10='Expt Data'!$A$6,D10*'Expt Data'!$B$6,IF(E10='Expt Data'!$A$7,D10*'Expt Data'!$B$7,IF(E10='Expt Data'!$A$8,D10*'Expt Data'!$B$8,"Secondary")))))</f>
        <v>0.24</v>
      </c>
      <c r="H10" s="77">
        <f t="shared" si="0"/>
        <v>2</v>
      </c>
    </row>
    <row r="11" spans="1:18">
      <c r="A11" s="60" t="s">
        <v>31</v>
      </c>
      <c r="B11" s="65">
        <v>0</v>
      </c>
      <c r="C11" s="66"/>
      <c r="D11" s="65">
        <f>$D$2/$D$1*$D$10</f>
        <v>4</v>
      </c>
      <c r="E11" s="71" t="s">
        <v>78</v>
      </c>
      <c r="F11" s="70"/>
      <c r="G11" s="22" t="str">
        <f>IF(E11='Expt Data'!$A$4,D11*'Expt Data'!$B$4,IF(E11='Expt Data'!$A$5,D11*'Expt Data'!$B$5,IF(E11='Expt Data'!$A$6,D11*'Expt Data'!$B$6,IF(E11='Expt Data'!$A$7,D11*'Expt Data'!$B$7,IF(E11='Expt Data'!$A$8,D11*'Expt Data'!$B$8,"Secondary")))))</f>
        <v>Secondary</v>
      </c>
      <c r="H11" s="77">
        <f t="shared" si="0"/>
        <v>0</v>
      </c>
    </row>
    <row r="12" spans="1:18">
      <c r="A12" s="60" t="s">
        <v>32</v>
      </c>
      <c r="B12" s="65">
        <f>B6*0.5</f>
        <v>20</v>
      </c>
      <c r="C12" s="66" t="s">
        <v>27</v>
      </c>
      <c r="D12" s="65">
        <f>$G$2/$I$2</f>
        <v>4</v>
      </c>
      <c r="E12" s="69" t="s">
        <v>28</v>
      </c>
      <c r="F12" s="70">
        <v>43</v>
      </c>
      <c r="G12" s="22">
        <f>IF(E12='Expt Data'!$A$4,D12*'Expt Data'!$B$4,IF(E12='Expt Data'!$A$5,D12*'Expt Data'!$B$5,IF(E12='Expt Data'!$A$6,D12*'Expt Data'!$B$6,IF(E12='Expt Data'!$A$7,D12*'Expt Data'!$B$7,IF(E12='Expt Data'!$A$8,D12*'Expt Data'!$B$8,"Secondary")))))</f>
        <v>0.68</v>
      </c>
      <c r="H12" s="77">
        <f t="shared" si="0"/>
        <v>2.15</v>
      </c>
    </row>
    <row r="13" spans="1:18">
      <c r="A13" s="60" t="s">
        <v>33</v>
      </c>
      <c r="B13" s="65">
        <f>B6*0.5*0.5*SQRT(2)</f>
        <v>14.142135623730951</v>
      </c>
      <c r="C13" s="66" t="s">
        <v>30</v>
      </c>
      <c r="D13" s="65">
        <f>D9</f>
        <v>5.6568542494923806</v>
      </c>
      <c r="E13" s="69" t="str">
        <f>IF(B13&lt;='Expt Data'!$C$4,'Expt Data'!$A$4,IF(B13&lt;='Expt Data'!$C$5,'Expt Data'!$A$5,IF(B13&lt;='Expt Data'!$C$6,'Expt Data'!$A$6,IF(B13&lt;='Expt Data'!$C$7,'Expt Data'!$A$7,'Expt Data'!$A$8))))</f>
        <v>3/32</v>
      </c>
      <c r="F13" s="70">
        <f>IF(E13='Expt Data'!$A$4,'Expt Data'!$C$4,IF(E13='Expt Data'!$A$5,'Expt Data'!$C$5,IF(E13='Expt Data'!$A$6,'Expt Data'!$C$6,IF(E13='Expt Data'!$A$7,'Expt Data'!$C$7,'Expt Data'!$C$8))))</f>
        <v>20</v>
      </c>
      <c r="G13" s="22">
        <f>IF(E13='Expt Data'!$A$4,D13*'Expt Data'!$B$4,IF(E13='Expt Data'!$A$5,D13*'Expt Data'!$B$5,IF(E13='Expt Data'!$A$6,D13*'Expt Data'!$B$6,IF(E13='Expt Data'!$A$7,D13*'Expt Data'!$B$7,IF(E13='Expt Data'!$A$8,D13*'Expt Data'!$B$8,"Secondary")))))</f>
        <v>0.33941125496954283</v>
      </c>
      <c r="H13" s="77">
        <f t="shared" si="0"/>
        <v>1.4142135623730949</v>
      </c>
    </row>
    <row r="14" spans="1:18">
      <c r="A14" s="60" t="s">
        <v>34</v>
      </c>
      <c r="B14" s="65">
        <f>B6*0.5*0.5</f>
        <v>10</v>
      </c>
      <c r="C14" s="66" t="s">
        <v>30</v>
      </c>
      <c r="D14" s="65">
        <f>$G$2/$I$2</f>
        <v>4</v>
      </c>
      <c r="E14" s="69" t="str">
        <f>IF(B14&lt;='Expt Data'!$C$4,'Expt Data'!$A$4,IF(B14&lt;='Expt Data'!$C$5,'Expt Data'!$A$5,IF(B14&lt;='Expt Data'!$C$6,'Expt Data'!$A$6,IF(B14&lt;='Expt Data'!$C$7,'Expt Data'!$A$7,'Expt Data'!$A$8))))</f>
        <v>3/32</v>
      </c>
      <c r="F14" s="70">
        <f>IF(E14='Expt Data'!$A$4,'Expt Data'!$C$4,IF(E14='Expt Data'!$A$5,'Expt Data'!$C$5,IF(E14='Expt Data'!$A$6,'Expt Data'!$C$6,IF(E14='Expt Data'!$A$7,'Expt Data'!$C$7,'Expt Data'!$C$8))))</f>
        <v>20</v>
      </c>
      <c r="G14" s="22">
        <f>IF(E14='Expt Data'!$A$4,D14*'Expt Data'!$B$4,IF(E14='Expt Data'!$A$5,D14*'Expt Data'!$B$5,IF(E14='Expt Data'!$A$6,D14*'Expt Data'!$B$6,IF(E14='Expt Data'!$A$7,D14*'Expt Data'!$B$7,IF(E14='Expt Data'!$A$8,D14*'Expt Data'!$B$8,"Secondary")))))</f>
        <v>0.24</v>
      </c>
      <c r="H14" s="77">
        <f t="shared" si="0"/>
        <v>2</v>
      </c>
    </row>
    <row r="15" spans="1:18">
      <c r="A15" s="60" t="s">
        <v>35</v>
      </c>
      <c r="B15" s="65">
        <f>B6*0.5*0.5</f>
        <v>10</v>
      </c>
      <c r="C15" s="66" t="s">
        <v>27</v>
      </c>
      <c r="D15" s="65">
        <f>D11</f>
        <v>4</v>
      </c>
      <c r="E15" s="69" t="s">
        <v>36</v>
      </c>
      <c r="F15" s="70">
        <v>18</v>
      </c>
      <c r="G15" s="22">
        <f>IF(E15='Expt Data'!$A$4,D15*'Expt Data'!$B$4,IF(E15='Expt Data'!$A$5,D15*'Expt Data'!$B$5,IF(E15='Expt Data'!$A$6,D15*'Expt Data'!$B$6,IF(E15='Expt Data'!$A$7,D15*'Expt Data'!$B$7,IF(E15='Expt Data'!$A$8,D15*'Expt Data'!$B$8,"Secondary")))))</f>
        <v>0.44</v>
      </c>
      <c r="H15" s="77">
        <f t="shared" si="0"/>
        <v>1.8</v>
      </c>
      <c r="L15" s="6" t="s">
        <v>37</v>
      </c>
    </row>
    <row r="16" spans="1:18">
      <c r="A16" s="60" t="s">
        <v>38</v>
      </c>
      <c r="B16" s="65">
        <f>B6*0.5*1.5</f>
        <v>30</v>
      </c>
      <c r="C16" s="66" t="s">
        <v>27</v>
      </c>
      <c r="D16" s="65">
        <f>$G$2/$I$2</f>
        <v>4</v>
      </c>
      <c r="E16" s="69" t="s">
        <v>28</v>
      </c>
      <c r="F16" s="70">
        <f>F12</f>
        <v>43</v>
      </c>
      <c r="G16" s="22">
        <f>IF(E16='Expt Data'!$A$4,D16*'Expt Data'!$B$4,IF(E16='Expt Data'!$A$5,D16*'Expt Data'!$B$5,IF(E16='Expt Data'!$A$6,D16*'Expt Data'!$B$6,IF(E16='Expt Data'!$A$7,D16*'Expt Data'!$B$7,IF(E16='Expt Data'!$A$8,D16*'Expt Data'!$B$8,"Secondary")))))</f>
        <v>0.68</v>
      </c>
      <c r="H16" s="77">
        <f t="shared" si="0"/>
        <v>1.4333333333333333</v>
      </c>
      <c r="L16" s="7" t="s">
        <v>39</v>
      </c>
      <c r="M16">
        <f>SUM(G9:G19)</f>
        <v>4.1604877323527907</v>
      </c>
    </row>
    <row r="17" spans="1:14">
      <c r="A17" s="60" t="s">
        <v>40</v>
      </c>
      <c r="B17" s="65">
        <f>B6*0.5*0.5*SQRT(2)</f>
        <v>14.142135623730951</v>
      </c>
      <c r="C17" s="66" t="s">
        <v>30</v>
      </c>
      <c r="D17" s="65">
        <f>D13</f>
        <v>5.6568542494923806</v>
      </c>
      <c r="E17" s="69" t="str">
        <f>IF(B17&lt;='Expt Data'!$C$4,'Expt Data'!$A$4,IF(B17&lt;='Expt Data'!$C$5,'Expt Data'!$A$5,IF(B17&lt;='Expt Data'!$C$6,'Expt Data'!$A$6,IF(B17&lt;='Expt Data'!$C$7,'Expt Data'!$A$7,'Expt Data'!$A$8))))</f>
        <v>3/32</v>
      </c>
      <c r="F17" s="70">
        <f>IF(E17='Expt Data'!$A$4,'Expt Data'!$C$4,IF(E17='Expt Data'!$A$5,'Expt Data'!$C$5,IF(E17='Expt Data'!$A$6,'Expt Data'!$C$6,IF(E17='Expt Data'!$A$7,'Expt Data'!$C$7,'Expt Data'!$C$8))))</f>
        <v>20</v>
      </c>
      <c r="G17" s="22">
        <f>IF(E17='Expt Data'!$A$4,D17*'Expt Data'!$B$4,IF(E17='Expt Data'!$A$5,D17*'Expt Data'!$B$5,IF(E17='Expt Data'!$A$6,D17*'Expt Data'!$B$6,IF(E17='Expt Data'!$A$7,D17*'Expt Data'!$B$7,IF(E17='Expt Data'!$A$8,D17*'Expt Data'!$B$8,"Secondary")))))</f>
        <v>0.33941125496954283</v>
      </c>
      <c r="H17" s="77">
        <f t="shared" si="0"/>
        <v>1.4142135623730949</v>
      </c>
      <c r="L17" s="7" t="s">
        <v>41</v>
      </c>
      <c r="M17">
        <f>IF(G19="Secondary",0,G19)</f>
        <v>0</v>
      </c>
    </row>
    <row r="18" spans="1:14">
      <c r="A18" s="60" t="s">
        <v>42</v>
      </c>
      <c r="B18" s="65">
        <f>B6*0.5</f>
        <v>20</v>
      </c>
      <c r="C18" s="66" t="s">
        <v>30</v>
      </c>
      <c r="D18" s="65">
        <f>$G$2/$I$2</f>
        <v>4</v>
      </c>
      <c r="E18" s="69" t="str">
        <f>IF(B18&lt;='Expt Data'!$C$4,'Expt Data'!$A$4,IF(B18&lt;='Expt Data'!$C$5,'Expt Data'!$A$5,IF(B18&lt;='Expt Data'!$C$6,'Expt Data'!$A$6,IF(B18&lt;='Expt Data'!$C$7,'Expt Data'!$A$7,'Expt Data'!$A$8))))</f>
        <v>3/32</v>
      </c>
      <c r="F18" s="70">
        <f>IF(E18='Expt Data'!$A$4,'Expt Data'!$C$4,IF(E18='Expt Data'!$A$5,'Expt Data'!$C$5,IF(E18='Expt Data'!$A$6,'Expt Data'!$C$6,IF(E18='Expt Data'!$A$7,'Expt Data'!$C$7,'Expt Data'!$C$8))))</f>
        <v>20</v>
      </c>
      <c r="G18" s="22">
        <f>IF(E18='Expt Data'!$A$4,D18*'Expt Data'!$B$4,IF(E18='Expt Data'!$A$5,D18*'Expt Data'!$B$5,IF(E18='Expt Data'!$A$6,D18*'Expt Data'!$B$6,IF(E18='Expt Data'!$A$7,D18*'Expt Data'!$B$7,IF(E18='Expt Data'!$A$8,D18*'Expt Data'!$B$8,"Secondary")))))</f>
        <v>0.24</v>
      </c>
      <c r="H18" s="77">
        <f t="shared" si="0"/>
        <v>1</v>
      </c>
      <c r="L18" s="7" t="s">
        <v>43</v>
      </c>
      <c r="M18">
        <f>M16*2-M17</f>
        <v>8.3209754647055814</v>
      </c>
    </row>
    <row r="19" spans="1:14" ht="13" thickBot="1">
      <c r="A19" s="61" t="s">
        <v>44</v>
      </c>
      <c r="B19" s="67">
        <v>0</v>
      </c>
      <c r="C19" s="68"/>
      <c r="D19" s="67">
        <f>D15</f>
        <v>4</v>
      </c>
      <c r="E19" s="72" t="s">
        <v>78</v>
      </c>
      <c r="F19" s="73"/>
      <c r="G19" s="27" t="str">
        <f>IF(E19='Expt Data'!$A$4,D19*'Expt Data'!$B$4,IF(E19='Expt Data'!$A$5,D19*'Expt Data'!$B$5,IF(E19='Expt Data'!$A$6,D19*'Expt Data'!$B$6,IF(E19='Expt Data'!$A$7,D19*'Expt Data'!$B$7,IF(E19='Expt Data'!$A$8,D19*'Expt Data'!$B$8,"Secondary")))))</f>
        <v>Secondary</v>
      </c>
      <c r="H19" s="78">
        <f t="shared" si="0"/>
        <v>0</v>
      </c>
      <c r="I19" s="7"/>
      <c r="L19" s="8" t="s">
        <v>45</v>
      </c>
      <c r="M19" s="8">
        <f>M18*2</f>
        <v>16.641950929411163</v>
      </c>
    </row>
    <row r="20" spans="1:14" ht="13" thickBot="1">
      <c r="A20" s="1" t="s">
        <v>46</v>
      </c>
      <c r="G20" s="7" t="s">
        <v>47</v>
      </c>
      <c r="H20" s="58">
        <f>H17</f>
        <v>1.4142135623730949</v>
      </c>
      <c r="L20" s="9" t="s">
        <v>48</v>
      </c>
      <c r="M20">
        <f>M19</f>
        <v>16.641950929411163</v>
      </c>
    </row>
    <row r="21" spans="1:14" ht="13" thickBot="1">
      <c r="A21" s="38" t="s">
        <v>49</v>
      </c>
      <c r="B21" s="39" t="s">
        <v>50</v>
      </c>
      <c r="C21" s="39" t="s">
        <v>20</v>
      </c>
      <c r="D21" s="40" t="s">
        <v>21</v>
      </c>
      <c r="E21" s="41" t="s">
        <v>51</v>
      </c>
      <c r="F21" s="42" t="s">
        <v>52</v>
      </c>
    </row>
    <row r="22" spans="1:14">
      <c r="A22" s="21" t="s">
        <v>53</v>
      </c>
      <c r="B22" s="23">
        <v>6</v>
      </c>
      <c r="C22" s="23">
        <f>$G$4</f>
        <v>4</v>
      </c>
      <c r="D22" s="23" t="str">
        <f>IF(B$6&lt;='Expt Data'!$G$4,'Expt Data'!$F5,IF(B$6&lt;='Expt Data'!$I$4,'Expt Data'!$H5,IF(B$6&lt;='Expt Data'!$K$4,'Expt Data'!$J5,"Out of Range!")))</f>
        <v>3/32</v>
      </c>
      <c r="E22" s="22">
        <f>IF(D22='Expt Data'!$A$4,C22*'Expt Data'!$B$4,IF(D22='Expt Data'!$A$5,C22*'Expt Data'!$B$5,IF(D22='Expt Data'!$A$6,C22*'Expt Data'!$B$6,IF(D22='Expt Data'!$A$7,C22*'Expt Data'!$B$7,IF(D22='Expt Data'!$A$8,C22*'Expt Data'!$B$8,"Check Size!")))))</f>
        <v>0.24</v>
      </c>
      <c r="F22" s="32">
        <f>E22*B22</f>
        <v>1.44</v>
      </c>
      <c r="L22" s="7" t="s">
        <v>54</v>
      </c>
      <c r="M22">
        <f>M20+F27</f>
        <v>22.721950929411165</v>
      </c>
      <c r="N22" t="s">
        <v>25</v>
      </c>
    </row>
    <row r="23" spans="1:14">
      <c r="A23" s="21" t="s">
        <v>55</v>
      </c>
      <c r="B23" s="23">
        <v>6</v>
      </c>
      <c r="C23" s="23">
        <f>$G$4</f>
        <v>4</v>
      </c>
      <c r="D23" s="23" t="str">
        <f>IF(B$6&lt;='Expt Data'!$G$4,'Expt Data'!$F6,IF(B$6&lt;='Expt Data'!$I$4,'Expt Data'!$H6,IF(B$6&lt;='Expt Data'!$K$4,'Expt Data'!$J6,"Out of Range!")))</f>
        <v>3/32</v>
      </c>
      <c r="E23" s="22">
        <f>IF(D23='Expt Data'!$A$4,C23*'Expt Data'!$B$4,IF(D23='Expt Data'!$A$5,C23*'Expt Data'!$B$5,IF(D23='Expt Data'!$A$6,C23*'Expt Data'!$B$6,IF(D23='Expt Data'!$A$7,C23*'Expt Data'!$B$7,IF(D23='Expt Data'!$A$8,C23*'Expt Data'!$B$8,"Check Size!")))))</f>
        <v>0.24</v>
      </c>
      <c r="F23" s="32">
        <f>E23*B23</f>
        <v>1.44</v>
      </c>
      <c r="L23" s="7" t="s">
        <v>56</v>
      </c>
      <c r="M23">
        <v>20</v>
      </c>
      <c r="N23" t="s">
        <v>57</v>
      </c>
    </row>
    <row r="24" spans="1:14">
      <c r="A24" s="21" t="s">
        <v>27</v>
      </c>
      <c r="B24" s="23">
        <v>6</v>
      </c>
      <c r="C24" s="23">
        <f>D11</f>
        <v>4</v>
      </c>
      <c r="D24" s="23" t="str">
        <f>IF(B$6&lt;='Expt Data'!$G$4,'Expt Data'!$F7,IF(B$6&lt;='Expt Data'!$I$4,'Expt Data'!$H7,IF(B$6&lt;='Expt Data'!$K$4,'Expt Data'!$J7,"Out of Range!")))</f>
        <v>3/32</v>
      </c>
      <c r="E24" s="22">
        <f>IF(D24='Expt Data'!$A$4,C24*'Expt Data'!$B$4,IF(D24='Expt Data'!$A$5,C24*'Expt Data'!$B$5,IF(D24='Expt Data'!$A$6,C24*'Expt Data'!$B$6,IF(D24='Expt Data'!$A$7,C24*'Expt Data'!$B$7,IF(D24='Expt Data'!$A$8,C24*'Expt Data'!$B$8,"Check Size!")))))</f>
        <v>0.24</v>
      </c>
      <c r="F24" s="32">
        <f>E24*B24</f>
        <v>1.44</v>
      </c>
      <c r="I24" s="8"/>
      <c r="L24" s="11" t="s">
        <v>58</v>
      </c>
      <c r="M24" s="8">
        <f>M22*M23/100</f>
        <v>4.5443901858822331</v>
      </c>
      <c r="N24" t="s">
        <v>25</v>
      </c>
    </row>
    <row r="25" spans="1:14">
      <c r="A25" s="21" t="s">
        <v>59</v>
      </c>
      <c r="B25" s="23">
        <v>0</v>
      </c>
      <c r="C25" s="23"/>
      <c r="D25" s="23" t="str">
        <f>IF(B$6&lt;='Expt Data'!$G$4,'Expt Data'!$F8,IF(B$6&lt;='Expt Data'!$I$4,'Expt Data'!$H8,IF(B$6&lt;='Expt Data'!$K$4,'Expt Data'!$J8,"Out of Range!")))</f>
        <v>1/8</v>
      </c>
      <c r="E25" s="22">
        <f>IF(D25='Expt Data'!$A$4,C25*'Expt Data'!$B$4,IF(D25='Expt Data'!$A$5,C25*'Expt Data'!$B$5,IF(D25='Expt Data'!$A$6,C25*'Expt Data'!$B$6,IF(D25='Expt Data'!$A$7,C25*'Expt Data'!$B$7,IF(D25='Expt Data'!$A$8,C25*'Expt Data'!$B$8,"Check Size!")))))</f>
        <v>0</v>
      </c>
      <c r="F25" s="32">
        <f>E25*B25</f>
        <v>0</v>
      </c>
      <c r="L25" s="9" t="s">
        <v>60</v>
      </c>
      <c r="M25" s="12">
        <f>M22+M24</f>
        <v>27.266341115293397</v>
      </c>
      <c r="N25" t="s">
        <v>25</v>
      </c>
    </row>
    <row r="26" spans="1:14" ht="13" thickBot="1">
      <c r="A26" s="26" t="s">
        <v>61</v>
      </c>
      <c r="B26" s="28">
        <v>4</v>
      </c>
      <c r="C26" s="28">
        <f>$G$4</f>
        <v>4</v>
      </c>
      <c r="D26" s="28" t="str">
        <f>IF(B$6&lt;='Expt Data'!$G$4,'Expt Data'!$F9,IF(B$6&lt;='Expt Data'!$I$4,'Expt Data'!$H9,IF(B$6&lt;='Expt Data'!$K$4,'Expt Data'!$J9,"Out of Range!")))</f>
        <v>1/8</v>
      </c>
      <c r="E26" s="27">
        <f>IF(D26='Expt Data'!$A$4,C26*'Expt Data'!$B$4,IF(D26='Expt Data'!$A$5,C26*'Expt Data'!$B$5,IF(D26='Expt Data'!$A$6,C26*'Expt Data'!$B$6,IF(D26='Expt Data'!$A$7,C26*'Expt Data'!$B$7,IF(D26='Expt Data'!$A$8,C26*'Expt Data'!$B$8,"Check Size!")))))</f>
        <v>0.44</v>
      </c>
      <c r="F26" s="33">
        <f>E26*B26</f>
        <v>1.76</v>
      </c>
    </row>
    <row r="27" spans="1:14">
      <c r="E27" s="9" t="s">
        <v>48</v>
      </c>
      <c r="F27" s="2">
        <f>SUM(F22:F26)</f>
        <v>6.08</v>
      </c>
      <c r="L27" s="13" t="s">
        <v>62</v>
      </c>
      <c r="M27" s="14">
        <f>B6/M25</f>
        <v>1.467010180458882</v>
      </c>
    </row>
    <row r="30" spans="1:14">
      <c r="A30" s="1" t="s">
        <v>14</v>
      </c>
      <c r="B30" s="2">
        <f>B5+1</f>
        <v>2</v>
      </c>
      <c r="G30" s="2"/>
    </row>
    <row r="31" spans="1:14" ht="13" thickBot="1">
      <c r="A31" s="1" t="s">
        <v>15</v>
      </c>
      <c r="B31" s="3">
        <f>B6*H20</f>
        <v>56.568542494923797</v>
      </c>
      <c r="C31" t="s">
        <v>16</v>
      </c>
    </row>
    <row r="32" spans="1:14" ht="24">
      <c r="A32" s="15" t="s">
        <v>17</v>
      </c>
      <c r="B32" s="16" t="s">
        <v>18</v>
      </c>
      <c r="C32" s="16" t="s">
        <v>19</v>
      </c>
      <c r="D32" s="16" t="s">
        <v>20</v>
      </c>
      <c r="E32" s="17" t="s">
        <v>21</v>
      </c>
      <c r="F32" s="18" t="s">
        <v>22</v>
      </c>
      <c r="G32" s="19" t="s">
        <v>23</v>
      </c>
      <c r="H32" s="20" t="s">
        <v>24</v>
      </c>
      <c r="I32" s="2"/>
      <c r="J32" s="2"/>
      <c r="K32" s="2"/>
      <c r="L32" s="2"/>
    </row>
    <row r="33" spans="1:12" ht="13" thickBot="1">
      <c r="A33" s="34"/>
      <c r="B33" s="35" t="s">
        <v>16</v>
      </c>
      <c r="C33" s="35"/>
      <c r="D33" s="35" t="s">
        <v>10</v>
      </c>
      <c r="E33" s="35" t="s">
        <v>10</v>
      </c>
      <c r="F33" s="35" t="s">
        <v>16</v>
      </c>
      <c r="G33" s="36" t="s">
        <v>25</v>
      </c>
      <c r="H33" s="37"/>
      <c r="I33" s="4"/>
      <c r="J33" s="4"/>
      <c r="K33" s="4"/>
      <c r="L33" s="4"/>
    </row>
    <row r="34" spans="1:12">
      <c r="A34" s="21" t="s">
        <v>26</v>
      </c>
      <c r="B34" s="22">
        <f>B31*0.5*0.5*SQRT(2)</f>
        <v>20</v>
      </c>
      <c r="C34" s="23" t="s">
        <v>27</v>
      </c>
      <c r="D34" s="22">
        <f>$D$3/$D$1*$D$10</f>
        <v>5.6568542494923806</v>
      </c>
      <c r="E34" s="24" t="s">
        <v>28</v>
      </c>
      <c r="F34" s="23">
        <v>24</v>
      </c>
      <c r="G34" s="10">
        <f>IF(E34='Expt Data'!$A$4,D34*'Expt Data'!$B$4,IF(E34='Expt Data'!$A$5,D34*'Expt Data'!$B$5,IF(E34='Expt Data'!$A$6,D34*'Expt Data'!$B$6,IF(E34='Expt Data'!$A$7,D34*'Expt Data'!$B$7,IF(E34='Expt Data'!$A$8,D34*'Expt Data'!$B$8,"Secondary")))))</f>
        <v>0.96166522241370478</v>
      </c>
      <c r="H34" s="25">
        <f t="shared" ref="H34:H44" si="1">IF(B34&gt;0,F34/B34,0)</f>
        <v>1.2</v>
      </c>
    </row>
    <row r="35" spans="1:12">
      <c r="A35" s="21" t="s">
        <v>29</v>
      </c>
      <c r="B35" s="22">
        <f>B31*0.5*0.5</f>
        <v>14.142135623730949</v>
      </c>
      <c r="C35" s="23" t="s">
        <v>30</v>
      </c>
      <c r="D35" s="22">
        <f>$G$2/$I$2</f>
        <v>4</v>
      </c>
      <c r="E35" s="24" t="str">
        <f>IF(B35&lt;='Expt Data'!$C$4,'Expt Data'!$A$4,IF(B35&lt;='Expt Data'!$C$5,'Expt Data'!$A$5,IF(B35&lt;='Expt Data'!$C$6,'Expt Data'!$A$6,IF(B35&lt;='Expt Data'!$C$7,'Expt Data'!$A$7,'Expt Data'!$A$8))))</f>
        <v>3/32</v>
      </c>
      <c r="F35" s="23">
        <f>IF(E35='Expt Data'!$A$4,'Expt Data'!$C$4,IF(E35='Expt Data'!$A$5,'Expt Data'!$C$5,IF(E35='Expt Data'!$A$6,'Expt Data'!$C$6,IF(E35='Expt Data'!$A$7,'Expt Data'!$C$7,'Expt Data'!$C$8))))</f>
        <v>20</v>
      </c>
      <c r="G35" s="10">
        <f>IF(E35='Expt Data'!$A$4,D35*'Expt Data'!$B$4,IF(E35='Expt Data'!$A$5,D35*'Expt Data'!$B$5,IF(E35='Expt Data'!$A$6,D35*'Expt Data'!$B$6,IF(E35='Expt Data'!$A$7,D35*'Expt Data'!$B$7,IF(E35='Expt Data'!$A$8,D35*'Expt Data'!$B$8,"Secondary")))))</f>
        <v>0.24</v>
      </c>
      <c r="H35" s="25">
        <f t="shared" si="1"/>
        <v>1.4142135623730951</v>
      </c>
    </row>
    <row r="36" spans="1:12">
      <c r="A36" s="21" t="s">
        <v>31</v>
      </c>
      <c r="B36" s="22">
        <v>0</v>
      </c>
      <c r="C36" s="23"/>
      <c r="D36" s="22">
        <f>$D$2/$D$1*$D$10</f>
        <v>4</v>
      </c>
      <c r="E36" s="24"/>
      <c r="F36" s="23"/>
      <c r="G36" s="10" t="str">
        <f>IF(E36='Expt Data'!$A$4,D36*'Expt Data'!$B$4,IF(E36='Expt Data'!$A$5,D36*'Expt Data'!$B$5,IF(E36='Expt Data'!$A$6,D36*'Expt Data'!$B$6,IF(E36='Expt Data'!$A$7,D36*'Expt Data'!$B$7,IF(E36='Expt Data'!$A$8,D36*'Expt Data'!$B$8,"Secondary")))))</f>
        <v>Secondary</v>
      </c>
      <c r="H36" s="25">
        <f t="shared" si="1"/>
        <v>0</v>
      </c>
    </row>
    <row r="37" spans="1:12">
      <c r="A37" s="21" t="s">
        <v>32</v>
      </c>
      <c r="B37" s="22">
        <f>B31*0.5</f>
        <v>28.284271247461898</v>
      </c>
      <c r="C37" s="23" t="s">
        <v>27</v>
      </c>
      <c r="D37" s="22">
        <f>$G$2/$I$2</f>
        <v>4</v>
      </c>
      <c r="E37" s="24" t="s">
        <v>28</v>
      </c>
      <c r="F37" s="23">
        <v>43</v>
      </c>
      <c r="G37" s="10">
        <f>IF(E37='Expt Data'!$A$4,D37*'Expt Data'!$B$4,IF(E37='Expt Data'!$A$5,D37*'Expt Data'!$B$5,IF(E37='Expt Data'!$A$6,D37*'Expt Data'!$B$6,IF(E37='Expt Data'!$A$7,D37*'Expt Data'!$B$7,IF(E37='Expt Data'!$A$8,D37*'Expt Data'!$B$8,"Secondary")))))</f>
        <v>0.68</v>
      </c>
      <c r="H37" s="25">
        <f t="shared" si="1"/>
        <v>1.5202795795510773</v>
      </c>
    </row>
    <row r="38" spans="1:12">
      <c r="A38" s="21" t="s">
        <v>33</v>
      </c>
      <c r="B38" s="22">
        <f>B31*0.5*0.5*SQRT(2)</f>
        <v>20</v>
      </c>
      <c r="C38" s="23" t="s">
        <v>30</v>
      </c>
      <c r="D38" s="22">
        <f>D34</f>
        <v>5.6568542494923806</v>
      </c>
      <c r="E38" s="24" t="str">
        <f>IF(B38&lt;='Expt Data'!$C$4,'Expt Data'!$A$4,IF(B38&lt;='Expt Data'!$C$5,'Expt Data'!$A$5,IF(B38&lt;='Expt Data'!$C$6,'Expt Data'!$A$6,IF(B38&lt;='Expt Data'!$C$7,'Expt Data'!$A$7,'Expt Data'!$A$8))))</f>
        <v>3/32</v>
      </c>
      <c r="F38" s="23">
        <f>IF(E38='Expt Data'!$A$4,'Expt Data'!$C$4,IF(E38='Expt Data'!$A$5,'Expt Data'!$C$5,IF(E38='Expt Data'!$A$6,'Expt Data'!$C$6,IF(E38='Expt Data'!$A$7,'Expt Data'!$C$7,'Expt Data'!$C$8))))</f>
        <v>20</v>
      </c>
      <c r="G38" s="10">
        <f>IF(E38='Expt Data'!$A$4,D38*'Expt Data'!$B$4,IF(E38='Expt Data'!$A$5,D38*'Expt Data'!$B$5,IF(E38='Expt Data'!$A$6,D38*'Expt Data'!$B$6,IF(E38='Expt Data'!$A$7,D38*'Expt Data'!$B$7,IF(E38='Expt Data'!$A$8,D38*'Expt Data'!$B$8,"Secondary")))))</f>
        <v>0.33941125496954283</v>
      </c>
      <c r="H38" s="25">
        <f t="shared" si="1"/>
        <v>1</v>
      </c>
    </row>
    <row r="39" spans="1:12">
      <c r="A39" s="21" t="s">
        <v>34</v>
      </c>
      <c r="B39" s="22">
        <f>B31*0.5*0.5</f>
        <v>14.142135623730949</v>
      </c>
      <c r="C39" s="23" t="s">
        <v>30</v>
      </c>
      <c r="D39" s="22">
        <f>$G$2/$I$2</f>
        <v>4</v>
      </c>
      <c r="E39" s="24" t="str">
        <f>IF(B39&lt;='Expt Data'!$C$4,'Expt Data'!$A$4,IF(B39&lt;='Expt Data'!$C$5,'Expt Data'!$A$5,IF(B39&lt;='Expt Data'!$C$6,'Expt Data'!$A$6,IF(B39&lt;='Expt Data'!$C$7,'Expt Data'!$A$7,'Expt Data'!$A$8))))</f>
        <v>3/32</v>
      </c>
      <c r="F39" s="23">
        <f>IF(E39='Expt Data'!$A$4,'Expt Data'!$C$4,IF(E39='Expt Data'!$A$5,'Expt Data'!$C$5,IF(E39='Expt Data'!$A$6,'Expt Data'!$C$6,IF(E39='Expt Data'!$A$7,'Expt Data'!$C$7,'Expt Data'!$C$8))))</f>
        <v>20</v>
      </c>
      <c r="G39" s="10">
        <f>IF(E39='Expt Data'!$A$4,D39*'Expt Data'!$B$4,IF(E39='Expt Data'!$A$5,D39*'Expt Data'!$B$5,IF(E39='Expt Data'!$A$6,D39*'Expt Data'!$B$6,IF(E39='Expt Data'!$A$7,D39*'Expt Data'!$B$7,IF(E39='Expt Data'!$A$8,D39*'Expt Data'!$B$8,"Secondary")))))</f>
        <v>0.24</v>
      </c>
      <c r="H39" s="25">
        <f t="shared" si="1"/>
        <v>1.4142135623730951</v>
      </c>
    </row>
    <row r="40" spans="1:12">
      <c r="A40" s="21" t="s">
        <v>35</v>
      </c>
      <c r="B40" s="22">
        <f>B31*0.5*0.5</f>
        <v>14.142135623730949</v>
      </c>
      <c r="C40" s="23" t="s">
        <v>27</v>
      </c>
      <c r="D40" s="22">
        <f>D36</f>
        <v>4</v>
      </c>
      <c r="E40" s="24" t="s">
        <v>36</v>
      </c>
      <c r="F40" s="23">
        <v>18</v>
      </c>
      <c r="G40" s="10">
        <f>IF(E40='Expt Data'!$A$4,D40*'Expt Data'!$B$4,IF(E40='Expt Data'!$A$5,D40*'Expt Data'!$B$5,IF(E40='Expt Data'!$A$6,D40*'Expt Data'!$B$6,IF(E40='Expt Data'!$A$7,D40*'Expt Data'!$B$7,IF(E40='Expt Data'!$A$8,D40*'Expt Data'!$B$8,"Secondary")))))</f>
        <v>0.44</v>
      </c>
      <c r="H40" s="25">
        <f t="shared" si="1"/>
        <v>1.2727922061357857</v>
      </c>
      <c r="J40" s="6" t="s">
        <v>37</v>
      </c>
    </row>
    <row r="41" spans="1:12">
      <c r="A41" s="21" t="s">
        <v>38</v>
      </c>
      <c r="B41" s="22">
        <f>B31*0.5*1.5</f>
        <v>42.426406871192846</v>
      </c>
      <c r="C41" s="23" t="s">
        <v>27</v>
      </c>
      <c r="D41" s="22">
        <f>$G$2/$I$2</f>
        <v>4</v>
      </c>
      <c r="E41" s="24" t="s">
        <v>28</v>
      </c>
      <c r="F41" s="23">
        <f>F37</f>
        <v>43</v>
      </c>
      <c r="G41" s="10">
        <f>IF(E41='Expt Data'!$A$4,D41*'Expt Data'!$B$4,IF(E41='Expt Data'!$A$5,D41*'Expt Data'!$B$5,IF(E41='Expt Data'!$A$6,D41*'Expt Data'!$B$6,IF(E41='Expt Data'!$A$7,D41*'Expt Data'!$B$7,IF(E41='Expt Data'!$A$8,D41*'Expt Data'!$B$8,"Secondary")))))</f>
        <v>0.68</v>
      </c>
      <c r="H41" s="25">
        <f t="shared" si="1"/>
        <v>1.0135197197007182</v>
      </c>
      <c r="J41" s="7" t="s">
        <v>39</v>
      </c>
      <c r="K41">
        <f>SUM(G34:G44)</f>
        <v>4.3604877323527909</v>
      </c>
    </row>
    <row r="42" spans="1:12">
      <c r="A42" s="21" t="s">
        <v>40</v>
      </c>
      <c r="B42" s="22">
        <f>B31*0.5*0.5*SQRT(2)</f>
        <v>20</v>
      </c>
      <c r="C42" s="23" t="s">
        <v>30</v>
      </c>
      <c r="D42" s="22">
        <f>D38</f>
        <v>5.6568542494923806</v>
      </c>
      <c r="E42" s="24" t="str">
        <f>IF(B42&lt;='Expt Data'!$C$4,'Expt Data'!$A$4,IF(B42&lt;='Expt Data'!$C$5,'Expt Data'!$A$5,IF(B42&lt;='Expt Data'!$C$6,'Expt Data'!$A$6,IF(B42&lt;='Expt Data'!$C$7,'Expt Data'!$A$7,'Expt Data'!$A$8))))</f>
        <v>3/32</v>
      </c>
      <c r="F42" s="23">
        <f>IF(E42='Expt Data'!$A$4,'Expt Data'!$C$4,IF(E42='Expt Data'!$A$5,'Expt Data'!$C$5,IF(E42='Expt Data'!$A$6,'Expt Data'!$C$6,IF(E42='Expt Data'!$A$7,'Expt Data'!$C$7,'Expt Data'!$C$8))))</f>
        <v>20</v>
      </c>
      <c r="G42" s="10">
        <f>IF(E42='Expt Data'!$A$4,D42*'Expt Data'!$B$4,IF(E42='Expt Data'!$A$5,D42*'Expt Data'!$B$5,IF(E42='Expt Data'!$A$6,D42*'Expt Data'!$B$6,IF(E42='Expt Data'!$A$7,D42*'Expt Data'!$B$7,IF(E42='Expt Data'!$A$8,D42*'Expt Data'!$B$8,"Secondary")))))</f>
        <v>0.33941125496954283</v>
      </c>
      <c r="H42" s="25">
        <f t="shared" si="1"/>
        <v>1</v>
      </c>
      <c r="J42" s="7" t="s">
        <v>41</v>
      </c>
      <c r="K42">
        <f>IF(G44="Secondary",0,G44)</f>
        <v>0</v>
      </c>
    </row>
    <row r="43" spans="1:12">
      <c r="A43" s="21" t="s">
        <v>42</v>
      </c>
      <c r="B43" s="22">
        <f>B31*0.5</f>
        <v>28.284271247461898</v>
      </c>
      <c r="C43" s="23" t="s">
        <v>30</v>
      </c>
      <c r="D43" s="22">
        <f>$G$2/$I$2</f>
        <v>4</v>
      </c>
      <c r="E43" s="24" t="str">
        <f>IF(B43&lt;='Expt Data'!$C$4,'Expt Data'!$A$4,IF(B43&lt;='Expt Data'!$C$5,'Expt Data'!$A$5,IF(B43&lt;='Expt Data'!$C$6,'Expt Data'!$A$6,IF(B43&lt;='Expt Data'!$C$7,'Expt Data'!$A$7,'Expt Data'!$A$8))))</f>
        <v>1/8</v>
      </c>
      <c r="F43" s="23">
        <f>IF(E43='Expt Data'!$A$4,'Expt Data'!$C$4,IF(E43='Expt Data'!$A$5,'Expt Data'!$C$5,IF(E43='Expt Data'!$A$6,'Expt Data'!$C$6,IF(E43='Expt Data'!$A$7,'Expt Data'!$C$7,'Expt Data'!$C$8))))</f>
        <v>35</v>
      </c>
      <c r="G43" s="10">
        <f>IF(E43='Expt Data'!$A$4,D43*'Expt Data'!$B$4,IF(E43='Expt Data'!$A$5,D43*'Expt Data'!$B$5,IF(E43='Expt Data'!$A$6,D43*'Expt Data'!$B$6,IF(E43='Expt Data'!$A$7,D43*'Expt Data'!$B$7,IF(E43='Expt Data'!$A$8,D43*'Expt Data'!$B$8,"Secondary")))))</f>
        <v>0.44</v>
      </c>
      <c r="H43" s="25">
        <f t="shared" si="1"/>
        <v>1.2374368670764582</v>
      </c>
      <c r="J43" s="7" t="s">
        <v>43</v>
      </c>
      <c r="K43">
        <f>K41*2-K42</f>
        <v>8.7209754647055817</v>
      </c>
    </row>
    <row r="44" spans="1:12" ht="13" thickBot="1">
      <c r="A44" s="26" t="s">
        <v>44</v>
      </c>
      <c r="B44" s="27">
        <v>0</v>
      </c>
      <c r="C44" s="28"/>
      <c r="D44" s="27">
        <f>D40</f>
        <v>4</v>
      </c>
      <c r="E44" s="29"/>
      <c r="F44" s="28"/>
      <c r="G44" s="57" t="str">
        <f>IF(E44='Expt Data'!$A$4,D44*'Expt Data'!$B$4,IF(E44='Expt Data'!$A$5,D44*'Expt Data'!$B$5,IF(E44='Expt Data'!$A$6,D44*'Expt Data'!$B$6,IF(E44='Expt Data'!$A$7,D44*'Expt Data'!$B$7,IF(E44='Expt Data'!$A$8,D44*'Expt Data'!$B$8,"Secondary")))))</f>
        <v>Secondary</v>
      </c>
      <c r="H44" s="31">
        <f t="shared" si="1"/>
        <v>0</v>
      </c>
      <c r="I44" s="7"/>
      <c r="J44" s="8" t="s">
        <v>45</v>
      </c>
      <c r="K44" s="8">
        <f>K43*2</f>
        <v>17.441950929411163</v>
      </c>
    </row>
    <row r="45" spans="1:12" ht="13" thickBot="1">
      <c r="A45" s="1" t="s">
        <v>46</v>
      </c>
      <c r="G45" s="7" t="s">
        <v>47</v>
      </c>
      <c r="H45" s="58">
        <v>1.2</v>
      </c>
      <c r="J45" s="9" t="s">
        <v>48</v>
      </c>
      <c r="K45">
        <f>K44</f>
        <v>17.441950929411163</v>
      </c>
    </row>
    <row r="46" spans="1:12" ht="13" thickBot="1">
      <c r="A46" s="38" t="s">
        <v>49</v>
      </c>
      <c r="B46" s="39" t="s">
        <v>50</v>
      </c>
      <c r="C46" s="39" t="s">
        <v>20</v>
      </c>
      <c r="D46" s="40" t="s">
        <v>21</v>
      </c>
      <c r="E46" s="41" t="s">
        <v>51</v>
      </c>
      <c r="F46" s="42" t="s">
        <v>52</v>
      </c>
    </row>
    <row r="47" spans="1:12">
      <c r="A47" s="21" t="s">
        <v>53</v>
      </c>
      <c r="B47" s="23">
        <v>6</v>
      </c>
      <c r="C47" s="23">
        <f>$G$4</f>
        <v>4</v>
      </c>
      <c r="D47" s="23" t="str">
        <f>IF(B$31&lt;='Expt Data'!$G$4,'Expt Data'!$F5,IF(B$31&lt;='Expt Data'!$I$4,'Expt Data'!$H5,IF(B$31&lt;='Expt Data'!$K$4,'Expt Data'!$J5,"Out of Range!")))</f>
        <v>1/8</v>
      </c>
      <c r="E47" s="22">
        <f>IF(D47='Expt Data'!$A$4,C47*'Expt Data'!$B$4,IF(D47='Expt Data'!$A$5,C47*'Expt Data'!$B$5,IF(D47='Expt Data'!$A$6,C47*'Expt Data'!$B$6,IF(D47='Expt Data'!$A$7,C47*'Expt Data'!$B$7,IF(D47='Expt Data'!$A$8,C47*'Expt Data'!$B$8,"Check Size!")))))</f>
        <v>0.44</v>
      </c>
      <c r="F47" s="32">
        <f>E47*B47</f>
        <v>2.64</v>
      </c>
      <c r="J47" s="7" t="s">
        <v>54</v>
      </c>
      <c r="K47">
        <f>K45+F52</f>
        <v>25.681950929411165</v>
      </c>
      <c r="L47" t="s">
        <v>25</v>
      </c>
    </row>
    <row r="48" spans="1:12">
      <c r="A48" s="21" t="s">
        <v>55</v>
      </c>
      <c r="B48" s="23">
        <v>6</v>
      </c>
      <c r="C48" s="23">
        <f>$G$4</f>
        <v>4</v>
      </c>
      <c r="D48" s="23" t="str">
        <f>IF(B$31&lt;='Expt Data'!$G$4,'Expt Data'!$F6,IF(B$31&lt;='Expt Data'!$I$4,'Expt Data'!$H6,IF(B$31&lt;='Expt Data'!$K$4,'Expt Data'!$J6,"Out of Range!")))</f>
        <v>3/32</v>
      </c>
      <c r="E48" s="22">
        <f>IF(D48='Expt Data'!$A$4,C48*'Expt Data'!$B$4,IF(D48='Expt Data'!$A$5,C48*'Expt Data'!$B$5,IF(D48='Expt Data'!$A$6,C48*'Expt Data'!$B$6,IF(D48='Expt Data'!$A$7,C48*'Expt Data'!$B$7,IF(D48='Expt Data'!$A$8,C48*'Expt Data'!$B$8,"Check Size!")))))</f>
        <v>0.24</v>
      </c>
      <c r="F48" s="32">
        <f>E48*B48</f>
        <v>1.44</v>
      </c>
      <c r="J48" s="7" t="s">
        <v>56</v>
      </c>
      <c r="K48">
        <v>20</v>
      </c>
      <c r="L48" t="s">
        <v>57</v>
      </c>
    </row>
    <row r="49" spans="1:12">
      <c r="A49" s="21" t="s">
        <v>27</v>
      </c>
      <c r="B49" s="23">
        <v>6</v>
      </c>
      <c r="C49" s="23">
        <f>D36</f>
        <v>4</v>
      </c>
      <c r="D49" s="23" t="str">
        <f>IF(B$31&lt;='Expt Data'!$G$4,'Expt Data'!$F7,IF(B$31&lt;='Expt Data'!$I$4,'Expt Data'!$H7,IF(B$31&lt;='Expt Data'!$K$4,'Expt Data'!$J7,"Out of Range!")))</f>
        <v>3/32</v>
      </c>
      <c r="E49" s="22">
        <f>IF(D49='Expt Data'!$A$4,C49*'Expt Data'!$B$4,IF(D49='Expt Data'!$A$5,C49*'Expt Data'!$B$5,IF(D49='Expt Data'!$A$6,C49*'Expt Data'!$B$6,IF(D49='Expt Data'!$A$7,C49*'Expt Data'!$B$7,IF(D49='Expt Data'!$A$8,C49*'Expt Data'!$B$8,"Check Size!")))))</f>
        <v>0.24</v>
      </c>
      <c r="F49" s="32">
        <f>E49*B49</f>
        <v>1.44</v>
      </c>
      <c r="I49" s="8"/>
      <c r="J49" s="11" t="s">
        <v>58</v>
      </c>
      <c r="K49" s="8">
        <f>K47*K48/100</f>
        <v>5.1363901858822327</v>
      </c>
      <c r="L49" t="s">
        <v>25</v>
      </c>
    </row>
    <row r="50" spans="1:12">
      <c r="A50" s="21" t="s">
        <v>59</v>
      </c>
      <c r="B50" s="23">
        <v>0</v>
      </c>
      <c r="C50" s="23"/>
      <c r="D50" s="23" t="str">
        <f>IF(B$31&lt;='Expt Data'!$G$4,'Expt Data'!$F8,IF(B$31&lt;='Expt Data'!$I$4,'Expt Data'!$H8,IF(B$31&lt;='Expt Data'!$K$4,'Expt Data'!$J8,"Out of Range!")))</f>
        <v>1/8</v>
      </c>
      <c r="E50" s="22">
        <f>IF(D50='Expt Data'!$A$4,C50*'Expt Data'!$B$4,IF(D50='Expt Data'!$A$5,C50*'Expt Data'!$B$5,IF(D50='Expt Data'!$A$6,C50*'Expt Data'!$B$6,IF(D50='Expt Data'!$A$7,C50*'Expt Data'!$B$7,IF(D50='Expt Data'!$A$8,C50*'Expt Data'!$B$8,"Check Size!")))))</f>
        <v>0</v>
      </c>
      <c r="F50" s="32">
        <f>E50*B50</f>
        <v>0</v>
      </c>
      <c r="J50" s="9" t="s">
        <v>60</v>
      </c>
      <c r="K50" s="12">
        <f>K47+K49</f>
        <v>30.8183411152934</v>
      </c>
      <c r="L50" t="s">
        <v>25</v>
      </c>
    </row>
    <row r="51" spans="1:12" ht="13" thickBot="1">
      <c r="A51" s="26" t="s">
        <v>61</v>
      </c>
      <c r="B51" s="28">
        <v>4</v>
      </c>
      <c r="C51" s="28">
        <f>$G$4</f>
        <v>4</v>
      </c>
      <c r="D51" s="28" t="str">
        <f>IF(B$31&lt;='Expt Data'!$G$4,'Expt Data'!$F9,IF(B$31&lt;='Expt Data'!$I$4,'Expt Data'!$H9,IF(B$31&lt;='Expt Data'!$K$4,'Expt Data'!$J9,"Out of Range!")))</f>
        <v>5/32</v>
      </c>
      <c r="E51" s="27">
        <f>IF(D51='Expt Data'!$A$4,C51*'Expt Data'!$B$4,IF(D51='Expt Data'!$A$5,C51*'Expt Data'!$B$5,IF(D51='Expt Data'!$A$6,C51*'Expt Data'!$B$6,IF(D51='Expt Data'!$A$7,C51*'Expt Data'!$B$7,IF(D51='Expt Data'!$A$8,C51*'Expt Data'!$B$8,"Check Size!")))))</f>
        <v>0.68</v>
      </c>
      <c r="F51" s="33">
        <f>E51*B51</f>
        <v>2.72</v>
      </c>
    </row>
    <row r="52" spans="1:12">
      <c r="E52" s="9" t="s">
        <v>48</v>
      </c>
      <c r="F52" s="2">
        <f>SUM(F47:F51)</f>
        <v>8.24</v>
      </c>
      <c r="J52" s="13" t="s">
        <v>62</v>
      </c>
      <c r="K52" s="14">
        <f>B31/K50</f>
        <v>1.8355479382649842</v>
      </c>
    </row>
    <row r="54" spans="1:12" ht="13" thickBot="1"/>
    <row r="55" spans="1:12" ht="13" thickBot="1">
      <c r="A55" s="1" t="s">
        <v>14</v>
      </c>
      <c r="B55" s="84">
        <f>B30+1</f>
        <v>3</v>
      </c>
      <c r="G55" s="2"/>
    </row>
    <row r="56" spans="1:12" ht="13" thickBot="1">
      <c r="A56" s="1" t="s">
        <v>15</v>
      </c>
      <c r="B56" s="3">
        <f>B31*H45</f>
        <v>67.882250993908556</v>
      </c>
      <c r="C56" t="s">
        <v>16</v>
      </c>
    </row>
    <row r="57" spans="1:12" ht="24">
      <c r="A57" s="15" t="s">
        <v>17</v>
      </c>
      <c r="B57" s="16" t="s">
        <v>18</v>
      </c>
      <c r="C57" s="16" t="s">
        <v>19</v>
      </c>
      <c r="D57" s="16" t="s">
        <v>20</v>
      </c>
      <c r="E57" s="16" t="s">
        <v>21</v>
      </c>
      <c r="F57" s="80" t="s">
        <v>22</v>
      </c>
      <c r="G57" s="19" t="s">
        <v>23</v>
      </c>
      <c r="H57" s="20" t="s">
        <v>24</v>
      </c>
      <c r="I57" s="2"/>
      <c r="J57" s="2"/>
      <c r="K57" s="2"/>
      <c r="L57" s="2"/>
    </row>
    <row r="58" spans="1:12" ht="13" thickBot="1">
      <c r="A58" s="34"/>
      <c r="B58" s="35" t="s">
        <v>16</v>
      </c>
      <c r="C58" s="35"/>
      <c r="D58" s="35" t="s">
        <v>10</v>
      </c>
      <c r="E58" s="35" t="s">
        <v>10</v>
      </c>
      <c r="F58" s="35" t="s">
        <v>16</v>
      </c>
      <c r="G58" s="36" t="s">
        <v>25</v>
      </c>
      <c r="H58" s="37"/>
      <c r="I58" s="4"/>
      <c r="J58" s="4"/>
      <c r="K58" s="4"/>
      <c r="L58" s="4"/>
    </row>
    <row r="59" spans="1:12">
      <c r="A59" s="21" t="s">
        <v>26</v>
      </c>
      <c r="B59" s="22">
        <f>B56*0.5*0.5*SQRT(2)</f>
        <v>24</v>
      </c>
      <c r="C59" s="23" t="s">
        <v>27</v>
      </c>
      <c r="D59" s="22">
        <f>$D$3/$D$1*$D$10</f>
        <v>5.6568542494923806</v>
      </c>
      <c r="E59" s="24" t="s">
        <v>28</v>
      </c>
      <c r="F59" s="23">
        <v>24</v>
      </c>
      <c r="G59" s="10">
        <f>IF(E59='Expt Data'!$A$4,D59*'Expt Data'!$B$4,IF(E59='Expt Data'!$A$5,D59*'Expt Data'!$B$5,IF(E59='Expt Data'!$A$6,D59*'Expt Data'!$B$6,IF(E59='Expt Data'!$A$7,D59*'Expt Data'!$B$7,IF(E59='Expt Data'!$A$8,D59*'Expt Data'!$B$8,"Secondary")))))</f>
        <v>0.96166522241370478</v>
      </c>
      <c r="H59" s="25">
        <f t="shared" ref="H59:H69" si="2">IF(B59&gt;0,F59/B59,0)</f>
        <v>1</v>
      </c>
    </row>
    <row r="60" spans="1:12">
      <c r="A60" s="21" t="s">
        <v>29</v>
      </c>
      <c r="B60" s="22">
        <f>B56*0.5*0.5</f>
        <v>16.970562748477139</v>
      </c>
      <c r="C60" s="23" t="s">
        <v>30</v>
      </c>
      <c r="D60" s="22">
        <f>$G$2/$I$2</f>
        <v>4</v>
      </c>
      <c r="E60" s="24" t="str">
        <f>IF(B60&lt;='Expt Data'!$C$4,'Expt Data'!$A$4,IF(B60&lt;='Expt Data'!$C$5,'Expt Data'!$A$5,IF(B60&lt;='Expt Data'!$C$6,'Expt Data'!$A$6,IF(B60&lt;='Expt Data'!$C$7,'Expt Data'!$A$7,'Expt Data'!$A$8))))</f>
        <v>3/32</v>
      </c>
      <c r="F60" s="23">
        <f>IF(E60='Expt Data'!$A$4,'Expt Data'!$C$4,IF(E60='Expt Data'!$A$5,'Expt Data'!$C$5,IF(E60='Expt Data'!$A$6,'Expt Data'!$C$6,IF(E60='Expt Data'!$A$7,'Expt Data'!$C$7,'Expt Data'!$C$8))))</f>
        <v>20</v>
      </c>
      <c r="G60" s="10">
        <f>IF(E60='Expt Data'!$A$4,D60*'Expt Data'!$B$4,IF(E60='Expt Data'!$A$5,D60*'Expt Data'!$B$5,IF(E60='Expt Data'!$A$6,D60*'Expt Data'!$B$6,IF(E60='Expt Data'!$A$7,D60*'Expt Data'!$B$7,IF(E60='Expt Data'!$A$8,D60*'Expt Data'!$B$8,"Secondary")))))</f>
        <v>0.24</v>
      </c>
      <c r="H60" s="25">
        <f t="shared" si="2"/>
        <v>1.1785113019775793</v>
      </c>
    </row>
    <row r="61" spans="1:12">
      <c r="A61" s="21" t="s">
        <v>31</v>
      </c>
      <c r="B61" s="22">
        <v>0</v>
      </c>
      <c r="C61" s="23"/>
      <c r="D61" s="22">
        <f>$D$2/$D$1*$D$10</f>
        <v>4</v>
      </c>
      <c r="E61" s="24"/>
      <c r="F61" s="23"/>
      <c r="G61" s="10" t="str">
        <f>IF(E61='Expt Data'!$A$4,D61*'Expt Data'!$B$4,IF(E61='Expt Data'!$A$5,D61*'Expt Data'!$B$5,IF(E61='Expt Data'!$A$6,D61*'Expt Data'!$B$6,IF(E61='Expt Data'!$A$7,D61*'Expt Data'!$B$7,IF(E61='Expt Data'!$A$8,D61*'Expt Data'!$B$8,"Secondary")))))</f>
        <v>Secondary</v>
      </c>
      <c r="H61" s="25">
        <f t="shared" si="2"/>
        <v>0</v>
      </c>
    </row>
    <row r="62" spans="1:12">
      <c r="A62" s="21" t="s">
        <v>32</v>
      </c>
      <c r="B62" s="22">
        <f>B56*0.5</f>
        <v>33.941125496954278</v>
      </c>
      <c r="C62" s="23" t="s">
        <v>27</v>
      </c>
      <c r="D62" s="22">
        <f>$G$2/$I$2</f>
        <v>4</v>
      </c>
      <c r="E62" s="24" t="s">
        <v>28</v>
      </c>
      <c r="F62" s="23">
        <v>43</v>
      </c>
      <c r="G62" s="10">
        <f>IF(E62='Expt Data'!$A$4,D62*'Expt Data'!$B$4,IF(E62='Expt Data'!$A$5,D62*'Expt Data'!$B$5,IF(E62='Expt Data'!$A$6,D62*'Expt Data'!$B$6,IF(E62='Expt Data'!$A$7,D62*'Expt Data'!$B$7,IF(E62='Expt Data'!$A$8,D62*'Expt Data'!$B$8,"Secondary")))))</f>
        <v>0.68</v>
      </c>
      <c r="H62" s="25">
        <f t="shared" si="2"/>
        <v>1.2668996496258977</v>
      </c>
    </row>
    <row r="63" spans="1:12">
      <c r="A63" s="21" t="s">
        <v>33</v>
      </c>
      <c r="B63" s="22">
        <f>B56*0.5*0.5*SQRT(2)</f>
        <v>24</v>
      </c>
      <c r="C63" s="23" t="s">
        <v>30</v>
      </c>
      <c r="D63" s="22">
        <f>D59</f>
        <v>5.6568542494923806</v>
      </c>
      <c r="E63" s="24" t="str">
        <f>IF(B63&lt;='Expt Data'!$C$4,'Expt Data'!$A$4,IF(B63&lt;='Expt Data'!$C$5,'Expt Data'!$A$5,IF(B63&lt;='Expt Data'!$C$6,'Expt Data'!$A$6,IF(B63&lt;='Expt Data'!$C$7,'Expt Data'!$A$7,'Expt Data'!$A$8))))</f>
        <v>1/8</v>
      </c>
      <c r="F63" s="23">
        <f>IF(E63='Expt Data'!$A$4,'Expt Data'!$C$4,IF(E63='Expt Data'!$A$5,'Expt Data'!$C$5,IF(E63='Expt Data'!$A$6,'Expt Data'!$C$6,IF(E63='Expt Data'!$A$7,'Expt Data'!$C$7,'Expt Data'!$C$8))))</f>
        <v>35</v>
      </c>
      <c r="G63" s="10">
        <f>IF(E63='Expt Data'!$A$4,D63*'Expt Data'!$B$4,IF(E63='Expt Data'!$A$5,D63*'Expt Data'!$B$5,IF(E63='Expt Data'!$A$6,D63*'Expt Data'!$B$6,IF(E63='Expt Data'!$A$7,D63*'Expt Data'!$B$7,IF(E63='Expt Data'!$A$8,D63*'Expt Data'!$B$8,"Secondary")))))</f>
        <v>0.62225396744416184</v>
      </c>
      <c r="H63" s="25">
        <f t="shared" si="2"/>
        <v>1.4583333333333333</v>
      </c>
    </row>
    <row r="64" spans="1:12">
      <c r="A64" s="21" t="s">
        <v>34</v>
      </c>
      <c r="B64" s="22">
        <f>B56*0.5*0.5</f>
        <v>16.970562748477139</v>
      </c>
      <c r="C64" s="23" t="s">
        <v>30</v>
      </c>
      <c r="D64" s="22">
        <f>$G$2/$I$2</f>
        <v>4</v>
      </c>
      <c r="E64" s="24" t="str">
        <f>IF(B64&lt;='Expt Data'!$C$4,'Expt Data'!$A$4,IF(B64&lt;='Expt Data'!$C$5,'Expt Data'!$A$5,IF(B64&lt;='Expt Data'!$C$6,'Expt Data'!$A$6,IF(B64&lt;='Expt Data'!$C$7,'Expt Data'!$A$7,'Expt Data'!$A$8))))</f>
        <v>3/32</v>
      </c>
      <c r="F64" s="23">
        <f>IF(E64='Expt Data'!$A$4,'Expt Data'!$C$4,IF(E64='Expt Data'!$A$5,'Expt Data'!$C$5,IF(E64='Expt Data'!$A$6,'Expt Data'!$C$6,IF(E64='Expt Data'!$A$7,'Expt Data'!$C$7,'Expt Data'!$C$8))))</f>
        <v>20</v>
      </c>
      <c r="G64" s="10">
        <f>IF(E64='Expt Data'!$A$4,D64*'Expt Data'!$B$4,IF(E64='Expt Data'!$A$5,D64*'Expt Data'!$B$5,IF(E64='Expt Data'!$A$6,D64*'Expt Data'!$B$6,IF(E64='Expt Data'!$A$7,D64*'Expt Data'!$B$7,IF(E64='Expt Data'!$A$8,D64*'Expt Data'!$B$8,"Secondary")))))</f>
        <v>0.24</v>
      </c>
      <c r="H64" s="25">
        <f t="shared" si="2"/>
        <v>1.1785113019775793</v>
      </c>
    </row>
    <row r="65" spans="1:12">
      <c r="A65" s="21" t="s">
        <v>35</v>
      </c>
      <c r="B65" s="22">
        <f>B56*0.5*0.5</f>
        <v>16.970562748477139</v>
      </c>
      <c r="C65" s="23" t="s">
        <v>27</v>
      </c>
      <c r="D65" s="22">
        <f>D61</f>
        <v>4</v>
      </c>
      <c r="E65" s="24" t="s">
        <v>36</v>
      </c>
      <c r="F65" s="23">
        <v>18</v>
      </c>
      <c r="G65" s="10">
        <f>IF(E65='Expt Data'!$A$4,D65*'Expt Data'!$B$4,IF(E65='Expt Data'!$A$5,D65*'Expt Data'!$B$5,IF(E65='Expt Data'!$A$6,D65*'Expt Data'!$B$6,IF(E65='Expt Data'!$A$7,D65*'Expt Data'!$B$7,IF(E65='Expt Data'!$A$8,D65*'Expt Data'!$B$8,"Secondary")))))</f>
        <v>0.44</v>
      </c>
      <c r="H65" s="25">
        <f t="shared" si="2"/>
        <v>1.0606601717798214</v>
      </c>
      <c r="J65" s="82" t="s">
        <v>37</v>
      </c>
      <c r="K65" s="83"/>
    </row>
    <row r="66" spans="1:12">
      <c r="A66" s="21" t="s">
        <v>38</v>
      </c>
      <c r="B66" s="22">
        <f>B56*0.5*1.5</f>
        <v>50.911688245431421</v>
      </c>
      <c r="C66" s="23" t="s">
        <v>27</v>
      </c>
      <c r="D66" s="22">
        <f>$G$2/$I$2</f>
        <v>4</v>
      </c>
      <c r="E66" s="24" t="s">
        <v>63</v>
      </c>
      <c r="F66" s="23">
        <v>75</v>
      </c>
      <c r="G66" s="10">
        <f>IF(E66='Expt Data'!$A$4,D66*'Expt Data'!$B$4,IF(E66='Expt Data'!$A$5,D66*'Expt Data'!$B$5,IF(E66='Expt Data'!$A$6,D66*'Expt Data'!$B$6,IF(E66='Expt Data'!$A$7,D66*'Expt Data'!$B$7,IF(E66='Expt Data'!$A$8,D66*'Expt Data'!$B$8,"Secondary")))))</f>
        <v>0.96</v>
      </c>
      <c r="H66" s="25">
        <f t="shared" si="2"/>
        <v>1.4731391274719741</v>
      </c>
      <c r="J66" s="7" t="s">
        <v>39</v>
      </c>
      <c r="K66">
        <f>SUM(G59:G69)</f>
        <v>5.2061731573020289</v>
      </c>
    </row>
    <row r="67" spans="1:12">
      <c r="A67" s="21" t="s">
        <v>40</v>
      </c>
      <c r="B67" s="22">
        <f>B56*0.5*0.5*SQRT(2)</f>
        <v>24</v>
      </c>
      <c r="C67" s="23" t="s">
        <v>30</v>
      </c>
      <c r="D67" s="22">
        <f>D63</f>
        <v>5.6568542494923806</v>
      </c>
      <c r="E67" s="24" t="str">
        <f>IF(B67&lt;='Expt Data'!$C$4,'Expt Data'!$A$4,IF(B67&lt;='Expt Data'!$C$5,'Expt Data'!$A$5,IF(B67&lt;='Expt Data'!$C$6,'Expt Data'!$A$6,IF(B67&lt;='Expt Data'!$C$7,'Expt Data'!$A$7,'Expt Data'!$A$8))))</f>
        <v>1/8</v>
      </c>
      <c r="F67" s="23">
        <f>IF(E67='Expt Data'!$A$4,'Expt Data'!$C$4,IF(E67='Expt Data'!$A$5,'Expt Data'!$C$5,IF(E67='Expt Data'!$A$6,'Expt Data'!$C$6,IF(E67='Expt Data'!$A$7,'Expt Data'!$C$7,'Expt Data'!$C$8))))</f>
        <v>35</v>
      </c>
      <c r="G67" s="10">
        <f>IF(E67='Expt Data'!$A$4,D67*'Expt Data'!$B$4,IF(E67='Expt Data'!$A$5,D67*'Expt Data'!$B$5,IF(E67='Expt Data'!$A$6,D67*'Expt Data'!$B$6,IF(E67='Expt Data'!$A$7,D67*'Expt Data'!$B$7,IF(E67='Expt Data'!$A$8,D67*'Expt Data'!$B$8,"Secondary")))))</f>
        <v>0.62225396744416184</v>
      </c>
      <c r="H67" s="25">
        <f t="shared" si="2"/>
        <v>1.4583333333333333</v>
      </c>
      <c r="J67" s="7" t="s">
        <v>41</v>
      </c>
      <c r="K67">
        <f>IF(G69="Secondary",0,G69)</f>
        <v>0</v>
      </c>
    </row>
    <row r="68" spans="1:12">
      <c r="A68" s="21" t="s">
        <v>42</v>
      </c>
      <c r="B68" s="22">
        <f>B56*0.5</f>
        <v>33.941125496954278</v>
      </c>
      <c r="C68" s="23" t="s">
        <v>30</v>
      </c>
      <c r="D68" s="22">
        <f>$G$2/$I$2</f>
        <v>4</v>
      </c>
      <c r="E68" s="24" t="str">
        <f>IF(B68&lt;='Expt Data'!$C$4,'Expt Data'!$A$4,IF(B68&lt;='Expt Data'!$C$5,'Expt Data'!$A$5,IF(B68&lt;='Expt Data'!$C$6,'Expt Data'!$A$6,IF(B68&lt;='Expt Data'!$C$7,'Expt Data'!$A$7,'Expt Data'!$A$8))))</f>
        <v>1/8</v>
      </c>
      <c r="F68" s="23">
        <f>IF(E68='Expt Data'!$A$4,'Expt Data'!$C$4,IF(E68='Expt Data'!$A$5,'Expt Data'!$C$5,IF(E68='Expt Data'!$A$6,'Expt Data'!$C$6,IF(E68='Expt Data'!$A$7,'Expt Data'!$C$7,'Expt Data'!$C$8))))</f>
        <v>35</v>
      </c>
      <c r="G68" s="10">
        <f>IF(E68='Expt Data'!$A$4,D68*'Expt Data'!$B$4,IF(E68='Expt Data'!$A$5,D68*'Expt Data'!$B$5,IF(E68='Expt Data'!$A$6,D68*'Expt Data'!$B$6,IF(E68='Expt Data'!$A$7,D68*'Expt Data'!$B$7,IF(E68='Expt Data'!$A$8,D68*'Expt Data'!$B$8,"Secondary")))))</f>
        <v>0.44</v>
      </c>
      <c r="H68" s="25">
        <f t="shared" si="2"/>
        <v>1.0311973892303818</v>
      </c>
      <c r="J68" s="7" t="s">
        <v>43</v>
      </c>
      <c r="K68">
        <f>K66*2-K67</f>
        <v>10.412346314604058</v>
      </c>
    </row>
    <row r="69" spans="1:12" ht="13" thickBot="1">
      <c r="A69" s="26" t="s">
        <v>44</v>
      </c>
      <c r="B69" s="27">
        <v>0</v>
      </c>
      <c r="C69" s="28"/>
      <c r="D69" s="27">
        <f>D65</f>
        <v>4</v>
      </c>
      <c r="E69" s="29"/>
      <c r="F69" s="28"/>
      <c r="G69" s="57" t="str">
        <f>IF(E69='Expt Data'!$A$4,D69*'Expt Data'!$B$4,IF(E69='Expt Data'!$A$5,D69*'Expt Data'!$B$5,IF(E69='Expt Data'!$A$6,D69*'Expt Data'!$B$6,IF(E69='Expt Data'!$A$7,D69*'Expt Data'!$B$7,IF(E69='Expt Data'!$A$8,D69*'Expt Data'!$B$8,"Secondary")))))</f>
        <v>Secondary</v>
      </c>
      <c r="H69" s="31">
        <f t="shared" si="2"/>
        <v>0</v>
      </c>
      <c r="I69" s="7"/>
      <c r="J69" s="8" t="s">
        <v>45</v>
      </c>
      <c r="K69" s="8">
        <f>K68*2</f>
        <v>20.824692629208116</v>
      </c>
    </row>
    <row r="70" spans="1:12" ht="13" thickBot="1">
      <c r="A70" s="1" t="s">
        <v>46</v>
      </c>
      <c r="G70" s="7"/>
      <c r="H70" s="81"/>
      <c r="J70" s="9" t="s">
        <v>48</v>
      </c>
      <c r="K70">
        <f>K69</f>
        <v>20.824692629208116</v>
      </c>
    </row>
    <row r="71" spans="1:12" ht="13" thickBot="1">
      <c r="A71" s="38" t="s">
        <v>49</v>
      </c>
      <c r="B71" s="39" t="s">
        <v>50</v>
      </c>
      <c r="C71" s="39" t="s">
        <v>20</v>
      </c>
      <c r="D71" s="39" t="s">
        <v>21</v>
      </c>
      <c r="E71" s="41" t="s">
        <v>51</v>
      </c>
      <c r="F71" s="42" t="s">
        <v>52</v>
      </c>
    </row>
    <row r="72" spans="1:12">
      <c r="A72" s="21" t="s">
        <v>53</v>
      </c>
      <c r="B72" s="23">
        <v>6</v>
      </c>
      <c r="C72" s="23">
        <f>$G$4</f>
        <v>4</v>
      </c>
      <c r="D72" s="23" t="str">
        <f>IF(B$56&lt;='Expt Data'!$G$4,'Expt Data'!$F5,IF(B$56&lt;='Expt Data'!$I$4,'Expt Data'!$H5,IF(B$56&lt;='Expt Data'!$K$4,'Expt Data'!$J5,"Out of Range!")))</f>
        <v>1/8</v>
      </c>
      <c r="E72" s="22">
        <f>IF(D72='Expt Data'!$A$4,C72*'Expt Data'!$B$4,IF(D72='Expt Data'!$A$5,C72*'Expt Data'!$B$5,IF(D72='Expt Data'!$A$6,C72*'Expt Data'!$B$6,IF(D72='Expt Data'!$A$7,C72*'Expt Data'!$B$7,IF(D72='Expt Data'!$A$8,C72*'Expt Data'!$B$8,"Check Size!")))))</f>
        <v>0.44</v>
      </c>
      <c r="F72" s="32">
        <f>E72*B72</f>
        <v>2.64</v>
      </c>
      <c r="J72" s="7" t="s">
        <v>54</v>
      </c>
      <c r="K72">
        <f>K70+F77</f>
        <v>29.064692629208118</v>
      </c>
      <c r="L72" t="s">
        <v>25</v>
      </c>
    </row>
    <row r="73" spans="1:12">
      <c r="A73" s="21" t="s">
        <v>55</v>
      </c>
      <c r="B73" s="23">
        <v>6</v>
      </c>
      <c r="C73" s="23">
        <f>$G$4</f>
        <v>4</v>
      </c>
      <c r="D73" s="23" t="str">
        <f>IF(B$56&lt;='Expt Data'!$G$4,'Expt Data'!$F6,IF(B$56&lt;='Expt Data'!$I$4,'Expt Data'!$H6,IF(B$56&lt;='Expt Data'!$K$4,'Expt Data'!$J6,"Out of Range!")))</f>
        <v>3/32</v>
      </c>
      <c r="E73" s="22">
        <f>IF(D73='Expt Data'!$A$4,C73*'Expt Data'!$B$4,IF(D73='Expt Data'!$A$5,C73*'Expt Data'!$B$5,IF(D73='Expt Data'!$A$6,C73*'Expt Data'!$B$6,IF(D73='Expt Data'!$A$7,C73*'Expt Data'!$B$7,IF(D73='Expt Data'!$A$8,C73*'Expt Data'!$B$8,"Check Size!")))))</f>
        <v>0.24</v>
      </c>
      <c r="F73" s="32">
        <f>E73*B73</f>
        <v>1.44</v>
      </c>
      <c r="J73" s="7" t="s">
        <v>56</v>
      </c>
      <c r="K73">
        <v>20</v>
      </c>
      <c r="L73" t="s">
        <v>57</v>
      </c>
    </row>
    <row r="74" spans="1:12">
      <c r="A74" s="21" t="s">
        <v>27</v>
      </c>
      <c r="B74" s="23">
        <v>6</v>
      </c>
      <c r="C74" s="23">
        <f>D61</f>
        <v>4</v>
      </c>
      <c r="D74" s="23" t="str">
        <f>IF(B$56&lt;='Expt Data'!$G$4,'Expt Data'!$F7,IF(B$56&lt;='Expt Data'!$I$4,'Expt Data'!$H7,IF(B$56&lt;='Expt Data'!$K$4,'Expt Data'!$J7,"Out of Range!")))</f>
        <v>3/32</v>
      </c>
      <c r="E74" s="22">
        <f>IF(D74='Expt Data'!$A$4,C74*'Expt Data'!$B$4,IF(D74='Expt Data'!$A$5,C74*'Expt Data'!$B$5,IF(D74='Expt Data'!$A$6,C74*'Expt Data'!$B$6,IF(D74='Expt Data'!$A$7,C74*'Expt Data'!$B$7,IF(D74='Expt Data'!$A$8,C74*'Expt Data'!$B$8,"Check Size!")))))</f>
        <v>0.24</v>
      </c>
      <c r="F74" s="32">
        <f>E74*B74</f>
        <v>1.44</v>
      </c>
      <c r="I74" s="8"/>
      <c r="J74" s="11" t="s">
        <v>58</v>
      </c>
      <c r="K74" s="8">
        <f>K72*K73/100</f>
        <v>5.8129385258416235</v>
      </c>
      <c r="L74" t="s">
        <v>25</v>
      </c>
    </row>
    <row r="75" spans="1:12">
      <c r="A75" s="21" t="s">
        <v>59</v>
      </c>
      <c r="B75" s="23">
        <v>0</v>
      </c>
      <c r="C75" s="23"/>
      <c r="D75" s="23" t="str">
        <f>IF(B$56&lt;='Expt Data'!$G$4,'Expt Data'!$F8,IF(B$56&lt;='Expt Data'!$I$4,'Expt Data'!$H8,IF(B$56&lt;='Expt Data'!$K$4,'Expt Data'!$J8,"Out of Range!")))</f>
        <v>1/8</v>
      </c>
      <c r="E75" s="22">
        <f>IF(D75='Expt Data'!$A$4,C75*'Expt Data'!$B$4,IF(D75='Expt Data'!$A$5,C75*'Expt Data'!$B$5,IF(D75='Expt Data'!$A$6,C75*'Expt Data'!$B$6,IF(D75='Expt Data'!$A$7,C75*'Expt Data'!$B$7,IF(D75='Expt Data'!$A$8,C75*'Expt Data'!$B$8,"Check Size!")))))</f>
        <v>0</v>
      </c>
      <c r="F75" s="32">
        <f>E75*B75</f>
        <v>0</v>
      </c>
      <c r="J75" s="9" t="s">
        <v>60</v>
      </c>
      <c r="K75" s="12">
        <f>K72+K74</f>
        <v>34.877631155049741</v>
      </c>
      <c r="L75" t="s">
        <v>25</v>
      </c>
    </row>
    <row r="76" spans="1:12" ht="13" thickBot="1">
      <c r="A76" s="26" t="s">
        <v>61</v>
      </c>
      <c r="B76" s="28">
        <v>4</v>
      </c>
      <c r="C76" s="28">
        <f>$G$4</f>
        <v>4</v>
      </c>
      <c r="D76" s="28" t="str">
        <f>IF(B$56&lt;='Expt Data'!$G$4,'Expt Data'!$F9,IF(B$56&lt;='Expt Data'!$I$4,'Expt Data'!$H9,IF(B$56&lt;='Expt Data'!$K$4,'Expt Data'!$J9,"Out of Range!")))</f>
        <v>5/32</v>
      </c>
      <c r="E76" s="27">
        <f>IF(D76='Expt Data'!$A$4,C76*'Expt Data'!$B$4,IF(D76='Expt Data'!$A$5,C76*'Expt Data'!$B$5,IF(D76='Expt Data'!$A$6,C76*'Expt Data'!$B$6,IF(D76='Expt Data'!$A$7,C76*'Expt Data'!$B$7,IF(D76='Expt Data'!$A$8,C76*'Expt Data'!$B$8,"Check Size!")))))</f>
        <v>0.68</v>
      </c>
      <c r="F76" s="33">
        <f>E76*B76</f>
        <v>2.72</v>
      </c>
    </row>
    <row r="77" spans="1:12">
      <c r="E77" s="9" t="s">
        <v>48</v>
      </c>
      <c r="F77" s="2">
        <f>SUM(F72:F76)</f>
        <v>8.24</v>
      </c>
      <c r="J77" s="9" t="s">
        <v>62</v>
      </c>
      <c r="K77" s="14">
        <f>B56/K75</f>
        <v>1.9462976339228892</v>
      </c>
    </row>
  </sheetData>
  <phoneticPr fontId="3" type="noConversion"/>
  <pageMargins left="0.78749999999999998" right="0.78749999999999998" top="1.0249999999999999" bottom="1.0249999999999999" header="0.78749999999999998" footer="0.78749999999999998"/>
  <headerFooter>
    <oddHeader>&amp;C&amp;A</oddHeader>
    <oddFooter>&amp;CPage &amp;P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Truss Types</vt:lpstr>
      <vt:lpstr>Expt Data</vt:lpstr>
      <vt:lpstr>Optimization - Pratt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bridge optimization</dc:title>
  <dc:subject>engr190</dc:subject>
  <dc:creator>Yeow Siow</dc:creator>
  <cp:lastModifiedBy>Yeow Siow</cp:lastModifiedBy>
  <dcterms:created xsi:type="dcterms:W3CDTF">2008-11-12T19:19:50Z</dcterms:created>
  <dcterms:modified xsi:type="dcterms:W3CDTF">2015-09-27T23:04:21Z</dcterms:modified>
</cp:coreProperties>
</file>